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jp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2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3.xml" ContentType="application/vnd.openxmlformats-officedocument.themeOverrid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510" codeName="{51196F13-6AD0-C1B8-E2B4-A1F9AE17003E}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cecco/Desktop/"/>
    </mc:Choice>
  </mc:AlternateContent>
  <bookViews>
    <workbookView xWindow="0" yWindow="0" windowWidth="25600" windowHeight="16000" tabRatio="500"/>
  </bookViews>
  <sheets>
    <sheet name="Copertina" sheetId="8" r:id="rId1"/>
    <sheet name="Valutazione risorsa idrica" sheetId="1" r:id="rId2"/>
    <sheet name="Valutazione del salto" sheetId="2" r:id="rId3"/>
    <sheet name="Scelta della turbina" sheetId="3" r:id="rId4"/>
    <sheet name="Valutazione Potenziale" sheetId="5" r:id="rId5"/>
    <sheet name="Stima dell'investimento" sheetId="6" r:id="rId6"/>
    <sheet name="Analisi Finanziaria" sheetId="7" r:id="rId7"/>
  </sheets>
  <calcPr calcId="150001" calcMode="autoNoTable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5" i="7" l="1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M98" i="1"/>
  <c r="D42" i="1"/>
  <c r="E30" i="1"/>
  <c r="K37" i="1"/>
  <c r="E42" i="1"/>
  <c r="F42" i="1"/>
  <c r="D74" i="1"/>
  <c r="D45" i="1"/>
  <c r="E45" i="1"/>
  <c r="F45" i="1"/>
  <c r="I67" i="1"/>
  <c r="K69" i="1"/>
  <c r="E74" i="1"/>
  <c r="D62" i="1"/>
  <c r="E62" i="1"/>
  <c r="F62" i="1"/>
  <c r="D94" i="1"/>
  <c r="E94" i="1"/>
  <c r="D43" i="1"/>
  <c r="E43" i="1"/>
  <c r="F43" i="1"/>
  <c r="D75" i="1"/>
  <c r="E75" i="1"/>
  <c r="D44" i="1"/>
  <c r="E44" i="1"/>
  <c r="F44" i="1"/>
  <c r="D76" i="1"/>
  <c r="E76" i="1"/>
  <c r="D77" i="1"/>
  <c r="E77" i="1"/>
  <c r="D46" i="1"/>
  <c r="E46" i="1"/>
  <c r="F46" i="1"/>
  <c r="D78" i="1"/>
  <c r="E78" i="1"/>
  <c r="D47" i="1"/>
  <c r="E47" i="1"/>
  <c r="F47" i="1"/>
  <c r="D79" i="1"/>
  <c r="E79" i="1"/>
  <c r="D48" i="1"/>
  <c r="E48" i="1"/>
  <c r="F48" i="1"/>
  <c r="D80" i="1"/>
  <c r="E80" i="1"/>
  <c r="D49" i="1"/>
  <c r="E49" i="1"/>
  <c r="F49" i="1"/>
  <c r="D81" i="1"/>
  <c r="E81" i="1"/>
  <c r="D50" i="1"/>
  <c r="E50" i="1"/>
  <c r="F50" i="1"/>
  <c r="D82" i="1"/>
  <c r="E82" i="1"/>
  <c r="D51" i="1"/>
  <c r="E51" i="1"/>
  <c r="F51" i="1"/>
  <c r="D83" i="1"/>
  <c r="E83" i="1"/>
  <c r="D52" i="1"/>
  <c r="E52" i="1"/>
  <c r="F52" i="1"/>
  <c r="D84" i="1"/>
  <c r="E84" i="1"/>
  <c r="D53" i="1"/>
  <c r="E53" i="1"/>
  <c r="F53" i="1"/>
  <c r="D85" i="1"/>
  <c r="E85" i="1"/>
  <c r="D54" i="1"/>
  <c r="E54" i="1"/>
  <c r="F54" i="1"/>
  <c r="D86" i="1"/>
  <c r="E86" i="1"/>
  <c r="D55" i="1"/>
  <c r="E55" i="1"/>
  <c r="F55" i="1"/>
  <c r="D87" i="1"/>
  <c r="E87" i="1"/>
  <c r="D56" i="1"/>
  <c r="E56" i="1"/>
  <c r="F56" i="1"/>
  <c r="D88" i="1"/>
  <c r="E88" i="1"/>
  <c r="D57" i="1"/>
  <c r="E57" i="1"/>
  <c r="F57" i="1"/>
  <c r="D89" i="1"/>
  <c r="E89" i="1"/>
  <c r="D58" i="1"/>
  <c r="E58" i="1"/>
  <c r="F58" i="1"/>
  <c r="D90" i="1"/>
  <c r="E90" i="1"/>
  <c r="D59" i="1"/>
  <c r="E59" i="1"/>
  <c r="F59" i="1"/>
  <c r="D91" i="1"/>
  <c r="E91" i="1"/>
  <c r="D60" i="1"/>
  <c r="E60" i="1"/>
  <c r="F60" i="1"/>
  <c r="D92" i="1"/>
  <c r="E92" i="1"/>
  <c r="D61" i="1"/>
  <c r="E61" i="1"/>
  <c r="F61" i="1"/>
  <c r="D93" i="1"/>
  <c r="E93" i="1"/>
  <c r="E98" i="1"/>
  <c r="E100" i="1"/>
  <c r="L102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L104" i="3"/>
  <c r="L105" i="3"/>
  <c r="E91" i="3"/>
  <c r="M104" i="3"/>
  <c r="E92" i="3"/>
  <c r="M105" i="3"/>
  <c r="K107" i="3"/>
  <c r="G105" i="3"/>
  <c r="G6" i="5"/>
  <c r="O7" i="5"/>
  <c r="O9" i="5"/>
  <c r="E21" i="5"/>
  <c r="H21" i="5"/>
  <c r="G117" i="3"/>
  <c r="C95" i="3"/>
  <c r="C96" i="3"/>
  <c r="C97" i="3"/>
  <c r="C98" i="3"/>
  <c r="C99" i="3"/>
  <c r="H117" i="3"/>
  <c r="H118" i="3"/>
  <c r="E98" i="3"/>
  <c r="I117" i="3"/>
  <c r="E99" i="3"/>
  <c r="I118" i="3"/>
  <c r="J117" i="3"/>
  <c r="M117" i="3"/>
  <c r="I21" i="5"/>
  <c r="F5" i="2"/>
  <c r="F17" i="2"/>
  <c r="F22" i="2"/>
  <c r="J26" i="2"/>
  <c r="F21" i="5"/>
  <c r="E41" i="5"/>
  <c r="I41" i="5"/>
  <c r="E40" i="5"/>
  <c r="H41" i="5"/>
  <c r="G177" i="3"/>
  <c r="H177" i="3"/>
  <c r="H178" i="3"/>
  <c r="I177" i="3"/>
  <c r="E80" i="3"/>
  <c r="I178" i="3"/>
  <c r="J177" i="3"/>
  <c r="M136" i="3"/>
  <c r="I40" i="5"/>
  <c r="E39" i="5"/>
  <c r="H40" i="5"/>
  <c r="G174" i="3"/>
  <c r="H174" i="3"/>
  <c r="H175" i="3"/>
  <c r="E81" i="3"/>
  <c r="I174" i="3"/>
  <c r="E82" i="3"/>
  <c r="I175" i="3"/>
  <c r="J174" i="3"/>
  <c r="M135" i="3"/>
  <c r="I39" i="5"/>
  <c r="E38" i="5"/>
  <c r="H39" i="5"/>
  <c r="G171" i="3"/>
  <c r="H171" i="3"/>
  <c r="H172" i="3"/>
  <c r="I171" i="3"/>
  <c r="I172" i="3"/>
  <c r="J171" i="3"/>
  <c r="M134" i="3"/>
  <c r="I38" i="5"/>
  <c r="E37" i="5"/>
  <c r="H38" i="5"/>
  <c r="G168" i="3"/>
  <c r="H168" i="3"/>
  <c r="H169" i="3"/>
  <c r="E83" i="3"/>
  <c r="I168" i="3"/>
  <c r="E84" i="3"/>
  <c r="I169" i="3"/>
  <c r="J168" i="3"/>
  <c r="M133" i="3"/>
  <c r="I37" i="5"/>
  <c r="E36" i="5"/>
  <c r="H37" i="5"/>
  <c r="G165" i="3"/>
  <c r="H165" i="3"/>
  <c r="H166" i="3"/>
  <c r="E85" i="3"/>
  <c r="I165" i="3"/>
  <c r="E86" i="3"/>
  <c r="I166" i="3"/>
  <c r="J165" i="3"/>
  <c r="M132" i="3"/>
  <c r="I36" i="5"/>
  <c r="E35" i="5"/>
  <c r="H36" i="5"/>
  <c r="G162" i="3"/>
  <c r="H162" i="3"/>
  <c r="H163" i="3"/>
  <c r="I162" i="3"/>
  <c r="E87" i="3"/>
  <c r="I163" i="3"/>
  <c r="J162" i="3"/>
  <c r="M131" i="3"/>
  <c r="I35" i="5"/>
  <c r="E34" i="5"/>
  <c r="H35" i="5"/>
  <c r="G159" i="3"/>
  <c r="H159" i="3"/>
  <c r="H160" i="3"/>
  <c r="I159" i="3"/>
  <c r="E88" i="3"/>
  <c r="I160" i="3"/>
  <c r="J159" i="3"/>
  <c r="M130" i="3"/>
  <c r="I34" i="5"/>
  <c r="E33" i="5"/>
  <c r="H34" i="5"/>
  <c r="G156" i="3"/>
  <c r="H156" i="3"/>
  <c r="H157" i="3"/>
  <c r="I156" i="3"/>
  <c r="E89" i="3"/>
  <c r="I157" i="3"/>
  <c r="J156" i="3"/>
  <c r="M129" i="3"/>
  <c r="I33" i="5"/>
  <c r="E32" i="5"/>
  <c r="H33" i="5"/>
  <c r="G153" i="3"/>
  <c r="H153" i="3"/>
  <c r="H154" i="3"/>
  <c r="I153" i="3"/>
  <c r="E90" i="3"/>
  <c r="I154" i="3"/>
  <c r="J153" i="3"/>
  <c r="M128" i="3"/>
  <c r="I32" i="5"/>
  <c r="E31" i="5"/>
  <c r="H32" i="5"/>
  <c r="G150" i="3"/>
  <c r="H150" i="3"/>
  <c r="H151" i="3"/>
  <c r="I150" i="3"/>
  <c r="I151" i="3"/>
  <c r="J150" i="3"/>
  <c r="M127" i="3"/>
  <c r="I31" i="5"/>
  <c r="E30" i="5"/>
  <c r="H31" i="5"/>
  <c r="G147" i="3"/>
  <c r="H147" i="3"/>
  <c r="H148" i="3"/>
  <c r="I147" i="3"/>
  <c r="I148" i="3"/>
  <c r="J147" i="3"/>
  <c r="M126" i="3"/>
  <c r="I30" i="5"/>
  <c r="E29" i="5"/>
  <c r="H30" i="5"/>
  <c r="G144" i="3"/>
  <c r="H144" i="3"/>
  <c r="H145" i="3"/>
  <c r="I144" i="3"/>
  <c r="E93" i="3"/>
  <c r="I145" i="3"/>
  <c r="J144" i="3"/>
  <c r="M125" i="3"/>
  <c r="I29" i="5"/>
  <c r="E28" i="5"/>
  <c r="H29" i="5"/>
  <c r="G141" i="3"/>
  <c r="H141" i="3"/>
  <c r="H142" i="3"/>
  <c r="I141" i="3"/>
  <c r="E94" i="3"/>
  <c r="I142" i="3"/>
  <c r="J141" i="3"/>
  <c r="M124" i="3"/>
  <c r="I28" i="5"/>
  <c r="E27" i="5"/>
  <c r="H28" i="5"/>
  <c r="G138" i="3"/>
  <c r="H138" i="3"/>
  <c r="H139" i="3"/>
  <c r="I138" i="3"/>
  <c r="E95" i="3"/>
  <c r="I139" i="3"/>
  <c r="J138" i="3"/>
  <c r="M123" i="3"/>
  <c r="I27" i="5"/>
  <c r="E26" i="5"/>
  <c r="H27" i="5"/>
  <c r="G135" i="3"/>
  <c r="H135" i="3"/>
  <c r="H136" i="3"/>
  <c r="I135" i="3"/>
  <c r="E96" i="3"/>
  <c r="I136" i="3"/>
  <c r="J135" i="3"/>
  <c r="M122" i="3"/>
  <c r="I26" i="5"/>
  <c r="E25" i="5"/>
  <c r="H26" i="5"/>
  <c r="G132" i="3"/>
  <c r="H132" i="3"/>
  <c r="H133" i="3"/>
  <c r="I132" i="3"/>
  <c r="E97" i="3"/>
  <c r="I133" i="3"/>
  <c r="J132" i="3"/>
  <c r="M121" i="3"/>
  <c r="I25" i="5"/>
  <c r="E24" i="5"/>
  <c r="H25" i="5"/>
  <c r="G129" i="3"/>
  <c r="H129" i="3"/>
  <c r="H130" i="3"/>
  <c r="I129" i="3"/>
  <c r="I130" i="3"/>
  <c r="J129" i="3"/>
  <c r="M120" i="3"/>
  <c r="I24" i="5"/>
  <c r="E23" i="5"/>
  <c r="H23" i="5"/>
  <c r="G123" i="3"/>
  <c r="H123" i="3"/>
  <c r="H124" i="3"/>
  <c r="I123" i="3"/>
  <c r="I124" i="3"/>
  <c r="J123" i="3"/>
  <c r="M119" i="3"/>
  <c r="I23" i="5"/>
  <c r="E22" i="5"/>
  <c r="H22" i="5"/>
  <c r="G120" i="3"/>
  <c r="H120" i="3"/>
  <c r="H121" i="3"/>
  <c r="I120" i="3"/>
  <c r="I121" i="3"/>
  <c r="J120" i="3"/>
  <c r="M118" i="3"/>
  <c r="I22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Q16" i="5"/>
  <c r="G73" i="7"/>
  <c r="C74" i="7"/>
  <c r="G74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45" i="7"/>
  <c r="D67" i="6"/>
  <c r="G76" i="6"/>
  <c r="G77" i="6"/>
  <c r="G82" i="6"/>
  <c r="G83" i="6"/>
  <c r="G84" i="6"/>
  <c r="D68" i="6"/>
  <c r="G89" i="6"/>
  <c r="D69" i="6"/>
  <c r="G90" i="6"/>
  <c r="G91" i="6"/>
  <c r="G103" i="3"/>
  <c r="G5" i="5"/>
  <c r="G14" i="5"/>
  <c r="G16" i="5"/>
  <c r="G96" i="6"/>
  <c r="G97" i="6"/>
  <c r="G98" i="6"/>
  <c r="H23" i="6"/>
  <c r="H24" i="6"/>
  <c r="H25" i="6"/>
  <c r="H26" i="6"/>
  <c r="H27" i="6"/>
  <c r="H28" i="6"/>
  <c r="H29" i="6"/>
  <c r="H30" i="6"/>
  <c r="I31" i="6"/>
  <c r="H33" i="6"/>
  <c r="H34" i="6"/>
  <c r="H35" i="6"/>
  <c r="H36" i="6"/>
  <c r="H37" i="6"/>
  <c r="H38" i="6"/>
  <c r="I39" i="6"/>
  <c r="H41" i="6"/>
  <c r="H42" i="6"/>
  <c r="H43" i="6"/>
  <c r="H44" i="6"/>
  <c r="H45" i="6"/>
  <c r="H46" i="6"/>
  <c r="H47" i="6"/>
  <c r="I48" i="6"/>
  <c r="H50" i="6"/>
  <c r="H51" i="6"/>
  <c r="H52" i="6"/>
  <c r="H53" i="6"/>
  <c r="H54" i="6"/>
  <c r="I55" i="6"/>
  <c r="I59" i="6"/>
  <c r="H60" i="6"/>
  <c r="I61" i="6"/>
  <c r="H62" i="6"/>
  <c r="I63" i="6"/>
  <c r="E105" i="6"/>
  <c r="H105" i="6"/>
  <c r="I125" i="6"/>
  <c r="F7" i="7"/>
  <c r="D44" i="7"/>
  <c r="F44" i="7"/>
  <c r="F13" i="7"/>
  <c r="F8" i="7"/>
  <c r="F11" i="7"/>
  <c r="F15" i="7"/>
  <c r="F17" i="7"/>
  <c r="F35" i="7"/>
  <c r="D45" i="7"/>
  <c r="F45" i="7"/>
  <c r="D46" i="7"/>
  <c r="F46" i="7"/>
  <c r="D47" i="7"/>
  <c r="F47" i="7"/>
  <c r="D48" i="7"/>
  <c r="F48" i="7"/>
  <c r="D49" i="7"/>
  <c r="F49" i="7"/>
  <c r="D50" i="7"/>
  <c r="F50" i="7"/>
  <c r="D51" i="7"/>
  <c r="F51" i="7"/>
  <c r="D52" i="7"/>
  <c r="F52" i="7"/>
  <c r="D53" i="7"/>
  <c r="F53" i="7"/>
  <c r="D54" i="7"/>
  <c r="F54" i="7"/>
  <c r="D55" i="7"/>
  <c r="F55" i="7"/>
  <c r="D56" i="7"/>
  <c r="F56" i="7"/>
  <c r="D57" i="7"/>
  <c r="F57" i="7"/>
  <c r="D58" i="7"/>
  <c r="F58" i="7"/>
  <c r="D59" i="7"/>
  <c r="F59" i="7"/>
  <c r="D60" i="7"/>
  <c r="F60" i="7"/>
  <c r="D61" i="7"/>
  <c r="F61" i="7"/>
  <c r="D62" i="7"/>
  <c r="F62" i="7"/>
  <c r="D63" i="7"/>
  <c r="F63" i="7"/>
  <c r="D64" i="7"/>
  <c r="F64" i="7"/>
  <c r="D65" i="7"/>
  <c r="F65" i="7"/>
  <c r="D66" i="7"/>
  <c r="F66" i="7"/>
  <c r="D67" i="7"/>
  <c r="F67" i="7"/>
  <c r="D68" i="7"/>
  <c r="F68" i="7"/>
  <c r="D69" i="7"/>
  <c r="F69" i="7"/>
  <c r="D70" i="7"/>
  <c r="F70" i="7"/>
  <c r="D71" i="7"/>
  <c r="F71" i="7"/>
  <c r="D72" i="7"/>
  <c r="F72" i="7"/>
  <c r="D73" i="7"/>
  <c r="F73" i="7"/>
  <c r="D74" i="7"/>
  <c r="F74" i="7"/>
  <c r="G137" i="7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21" i="5"/>
  <c r="J13" i="2"/>
  <c r="D6" i="6"/>
  <c r="E6" i="3"/>
  <c r="E7" i="3"/>
  <c r="E48" i="3"/>
  <c r="G48" i="3"/>
  <c r="D5" i="6"/>
  <c r="D4" i="6"/>
  <c r="C14" i="6"/>
  <c r="H10" i="6"/>
  <c r="J10" i="6"/>
  <c r="E97" i="1"/>
  <c r="G104" i="1"/>
  <c r="O104" i="1"/>
  <c r="F29" i="7"/>
  <c r="F21" i="7"/>
  <c r="F31" i="7"/>
  <c r="F36" i="7"/>
  <c r="C97" i="7"/>
  <c r="F52" i="6"/>
  <c r="D103" i="6"/>
  <c r="D102" i="6"/>
  <c r="D112" i="6"/>
  <c r="D111" i="6"/>
  <c r="E114" i="6"/>
  <c r="H114" i="6"/>
  <c r="D97" i="7"/>
  <c r="C98" i="7"/>
  <c r="D98" i="7"/>
  <c r="C99" i="7"/>
  <c r="D99" i="7"/>
  <c r="C100" i="7"/>
  <c r="D100" i="7"/>
  <c r="C101" i="7"/>
  <c r="D101" i="7"/>
  <c r="C102" i="7"/>
  <c r="D102" i="7"/>
  <c r="C103" i="7"/>
  <c r="D103" i="7"/>
  <c r="C104" i="7"/>
  <c r="D104" i="7"/>
  <c r="C105" i="7"/>
  <c r="D105" i="7"/>
  <c r="C106" i="7"/>
  <c r="D106" i="7"/>
  <c r="C107" i="7"/>
  <c r="D107" i="7"/>
  <c r="C108" i="7"/>
  <c r="D108" i="7"/>
  <c r="C109" i="7"/>
  <c r="D109" i="7"/>
  <c r="C110" i="7"/>
  <c r="D110" i="7"/>
  <c r="C111" i="7"/>
  <c r="D111" i="7"/>
  <c r="D96" i="7"/>
  <c r="E111" i="7"/>
  <c r="E103" i="7"/>
  <c r="E107" i="7"/>
  <c r="E105" i="7"/>
  <c r="E97" i="7"/>
  <c r="E98" i="7"/>
  <c r="E99" i="7"/>
  <c r="E100" i="7"/>
  <c r="E101" i="7"/>
  <c r="E102" i="7"/>
  <c r="E104" i="7"/>
  <c r="E106" i="7"/>
  <c r="E108" i="7"/>
  <c r="E109" i="7"/>
  <c r="E110" i="7"/>
  <c r="C112" i="7"/>
  <c r="D112" i="7"/>
  <c r="E112" i="7"/>
  <c r="C113" i="7"/>
  <c r="D113" i="7"/>
  <c r="E113" i="7"/>
  <c r="C114" i="7"/>
  <c r="D114" i="7"/>
  <c r="E114" i="7"/>
  <c r="C115" i="7"/>
  <c r="D115" i="7"/>
  <c r="E115" i="7"/>
  <c r="C116" i="7"/>
  <c r="D116" i="7"/>
  <c r="E116" i="7"/>
  <c r="C117" i="7"/>
  <c r="D117" i="7"/>
  <c r="E117" i="7"/>
  <c r="C118" i="7"/>
  <c r="D118" i="7"/>
  <c r="E118" i="7"/>
  <c r="C119" i="7"/>
  <c r="D119" i="7"/>
  <c r="E119" i="7"/>
  <c r="C120" i="7"/>
  <c r="D120" i="7"/>
  <c r="E120" i="7"/>
  <c r="C121" i="7"/>
  <c r="D121" i="7"/>
  <c r="E121" i="7"/>
  <c r="C122" i="7"/>
  <c r="D122" i="7"/>
  <c r="E122" i="7"/>
  <c r="C123" i="7"/>
  <c r="D123" i="7"/>
  <c r="E123" i="7"/>
  <c r="C124" i="7"/>
  <c r="D124" i="7"/>
  <c r="E124" i="7"/>
  <c r="C125" i="7"/>
  <c r="D125" i="7"/>
  <c r="E125" i="7"/>
  <c r="C126" i="7"/>
  <c r="D126" i="7"/>
  <c r="E126" i="7"/>
  <c r="E96" i="7"/>
  <c r="J128" i="7"/>
  <c r="J129" i="7"/>
  <c r="K128" i="7"/>
  <c r="K129" i="7"/>
  <c r="J130" i="7"/>
  <c r="G131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G112" i="7"/>
  <c r="G113" i="7"/>
  <c r="G114" i="7"/>
  <c r="G115" i="7"/>
  <c r="G116" i="7"/>
  <c r="G117" i="7"/>
  <c r="G118" i="7"/>
  <c r="G119" i="7"/>
  <c r="G120" i="7"/>
  <c r="G121" i="7"/>
  <c r="G122" i="7"/>
  <c r="G123" i="7"/>
  <c r="G124" i="7"/>
  <c r="G125" i="7"/>
  <c r="G126" i="7"/>
  <c r="G96" i="7"/>
  <c r="G135" i="7"/>
  <c r="E41" i="7"/>
  <c r="G133" i="7"/>
  <c r="G127" i="7"/>
  <c r="G129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45" i="7"/>
  <c r="E40" i="7"/>
  <c r="D27" i="7"/>
  <c r="F22" i="7"/>
  <c r="H22" i="7"/>
  <c r="E116" i="6"/>
  <c r="G116" i="6"/>
  <c r="E107" i="6"/>
  <c r="G107" i="6"/>
  <c r="H57" i="6"/>
  <c r="C15" i="6"/>
  <c r="C12" i="6"/>
  <c r="C13" i="6"/>
  <c r="H24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21" i="5"/>
  <c r="E27" i="2"/>
  <c r="H27" i="2"/>
  <c r="E28" i="2"/>
  <c r="H28" i="2"/>
  <c r="G18" i="5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17" i="3"/>
  <c r="G126" i="3"/>
  <c r="H126" i="3"/>
  <c r="H127" i="3"/>
  <c r="I126" i="3"/>
  <c r="I127" i="3"/>
  <c r="J126" i="3"/>
  <c r="O14" i="5"/>
  <c r="G107" i="3"/>
  <c r="G101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79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G50" i="3"/>
  <c r="I50" i="3"/>
  <c r="F23" i="2"/>
  <c r="F18" i="2"/>
  <c r="E14" i="2"/>
  <c r="F138" i="1"/>
  <c r="F139" i="1"/>
  <c r="F137" i="1"/>
  <c r="M107" i="1"/>
  <c r="M126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8" i="1"/>
  <c r="M129" i="1"/>
  <c r="M134" i="1"/>
  <c r="E147" i="1"/>
  <c r="L107" i="1"/>
  <c r="L126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8" i="1"/>
  <c r="L129" i="1"/>
  <c r="L134" i="1"/>
  <c r="E146" i="1"/>
  <c r="K107" i="1"/>
  <c r="K126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8" i="1"/>
  <c r="K129" i="1"/>
  <c r="K134" i="1"/>
  <c r="E145" i="1"/>
  <c r="J107" i="1"/>
  <c r="J126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8" i="1"/>
  <c r="J129" i="1"/>
  <c r="J134" i="1"/>
  <c r="E144" i="1"/>
  <c r="I107" i="1"/>
  <c r="I126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8" i="1"/>
  <c r="I129" i="1"/>
  <c r="I134" i="1"/>
  <c r="E143" i="1"/>
  <c r="H107" i="1"/>
  <c r="H126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8" i="1"/>
  <c r="H129" i="1"/>
  <c r="H134" i="1"/>
  <c r="E142" i="1"/>
  <c r="G107" i="1"/>
  <c r="G126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8" i="1"/>
  <c r="G129" i="1"/>
  <c r="G134" i="1"/>
  <c r="E141" i="1"/>
  <c r="F107" i="1"/>
  <c r="F126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8" i="1"/>
  <c r="F129" i="1"/>
  <c r="F134" i="1"/>
  <c r="E140" i="1"/>
  <c r="E107" i="1"/>
  <c r="E126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8" i="1"/>
  <c r="E129" i="1"/>
  <c r="E134" i="1"/>
  <c r="E139" i="1"/>
  <c r="D107" i="1"/>
  <c r="D126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8" i="1"/>
  <c r="D129" i="1"/>
  <c r="D134" i="1"/>
  <c r="E138" i="1"/>
  <c r="C134" i="1"/>
  <c r="E137" i="1"/>
  <c r="M132" i="1"/>
  <c r="D147" i="1"/>
  <c r="L132" i="1"/>
  <c r="D146" i="1"/>
  <c r="K132" i="1"/>
  <c r="D145" i="1"/>
  <c r="J132" i="1"/>
  <c r="D144" i="1"/>
  <c r="I132" i="1"/>
  <c r="D143" i="1"/>
  <c r="H132" i="1"/>
  <c r="D142" i="1"/>
  <c r="G132" i="1"/>
  <c r="D141" i="1"/>
  <c r="F132" i="1"/>
  <c r="D140" i="1"/>
  <c r="E132" i="1"/>
  <c r="D139" i="1"/>
  <c r="D132" i="1"/>
  <c r="D138" i="1"/>
  <c r="C107" i="1"/>
  <c r="C126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8" i="1"/>
  <c r="C132" i="1"/>
  <c r="D137" i="1"/>
  <c r="C138" i="1"/>
  <c r="C139" i="1"/>
  <c r="C140" i="1"/>
  <c r="C141" i="1"/>
  <c r="C142" i="1"/>
  <c r="C143" i="1"/>
  <c r="C144" i="1"/>
  <c r="C145" i="1"/>
  <c r="C146" i="1"/>
  <c r="C147" i="1"/>
  <c r="C129" i="1"/>
  <c r="E99" i="1"/>
  <c r="E67" i="1"/>
  <c r="H35" i="1"/>
  <c r="E35" i="1"/>
</calcChain>
</file>

<file path=xl/comments1.xml><?xml version="1.0" encoding="utf-8"?>
<comments xmlns="http://schemas.openxmlformats.org/spreadsheetml/2006/main">
  <authors>
    <author>FAMILY</author>
  </authors>
  <commentList>
    <comment ref="D11" authorId="0">
      <text>
        <r>
          <rPr>
            <sz val="9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<sst xmlns="http://schemas.openxmlformats.org/spreadsheetml/2006/main" count="374" uniqueCount="275">
  <si>
    <t xml:space="preserve">VALUTAZIONE DELLA RISORSA IDRICA  </t>
  </si>
  <si>
    <t>INSERIMENTO DELLA CURVA DELLE DURATE:</t>
  </si>
  <si>
    <t>DURATA %</t>
  </si>
  <si>
    <t>INSERIMENTO DEL DMV:</t>
  </si>
  <si>
    <t>INSERIMENTO DIRETTO</t>
  </si>
  <si>
    <r>
      <rPr>
        <b/>
        <sz val="12"/>
        <color theme="1"/>
        <rFont val="Calibri"/>
        <family val="2"/>
        <scheme val="minor"/>
      </rPr>
      <t>% DI Q</t>
    </r>
    <r>
      <rPr>
        <b/>
        <vertAlign val="subscript"/>
        <sz val="12"/>
        <color theme="1"/>
        <rFont val="Calibri (Corpo)"/>
      </rPr>
      <t>m</t>
    </r>
  </si>
  <si>
    <r>
      <t>Q</t>
    </r>
    <r>
      <rPr>
        <b/>
        <vertAlign val="subscript"/>
        <sz val="12"/>
        <color theme="1"/>
        <rFont val="Calibri (Corpo)"/>
      </rPr>
      <t>347</t>
    </r>
  </si>
  <si>
    <r>
      <t>Q</t>
    </r>
    <r>
      <rPr>
        <vertAlign val="subscript"/>
        <sz val="12"/>
        <color theme="1"/>
        <rFont val="Calibri (Corpo)"/>
      </rPr>
      <t>LORDA</t>
    </r>
    <r>
      <rPr>
        <sz val="12"/>
        <color theme="1"/>
        <rFont val="Calibri"/>
        <family val="2"/>
        <scheme val="minor"/>
      </rPr>
      <t xml:space="preserve"> [m</t>
    </r>
    <r>
      <rPr>
        <vertAlign val="superscript"/>
        <sz val="12"/>
        <color theme="1"/>
        <rFont val="Calibri (Corpo)"/>
      </rPr>
      <t>3</t>
    </r>
    <r>
      <rPr>
        <sz val="12"/>
        <color theme="1"/>
        <rFont val="Calibri (Corpo)"/>
      </rPr>
      <t>/s]</t>
    </r>
  </si>
  <si>
    <r>
      <t>Q</t>
    </r>
    <r>
      <rPr>
        <vertAlign val="subscript"/>
        <sz val="12"/>
        <color theme="1"/>
        <rFont val="Calibri (Corpo)"/>
      </rPr>
      <t>NETTA</t>
    </r>
    <r>
      <rPr>
        <sz val="12"/>
        <color theme="1"/>
        <rFont val="Calibri"/>
        <family val="2"/>
        <scheme val="minor"/>
      </rPr>
      <t xml:space="preserve"> [m</t>
    </r>
    <r>
      <rPr>
        <vertAlign val="superscript"/>
        <sz val="12"/>
        <color theme="1"/>
        <rFont val="Calibri (Corpo)"/>
      </rPr>
      <t>3</t>
    </r>
    <r>
      <rPr>
        <sz val="12"/>
        <color theme="1"/>
        <rFont val="Calibri (Corpo)"/>
      </rPr>
      <t>/s]</t>
    </r>
  </si>
  <si>
    <t>CALCOLO DEFLUSSO MINIMO VITALE DMV:</t>
  </si>
  <si>
    <t>CALCOLO PORTATE NETTE:</t>
  </si>
  <si>
    <t>DIRETTO</t>
  </si>
  <si>
    <t>DA DURATA</t>
  </si>
  <si>
    <r>
      <t>PORTATA DI PROGETTO Q</t>
    </r>
    <r>
      <rPr>
        <b/>
        <vertAlign val="subscript"/>
        <sz val="16"/>
        <color theme="1"/>
        <rFont val="Calibri (Corpo)"/>
      </rPr>
      <t>P</t>
    </r>
    <r>
      <rPr>
        <b/>
        <sz val="16"/>
        <color theme="1"/>
        <rFont val="Calibri"/>
        <scheme val="minor"/>
      </rPr>
      <t xml:space="preserve"> [m</t>
    </r>
    <r>
      <rPr>
        <b/>
        <vertAlign val="superscript"/>
        <sz val="16"/>
        <color theme="1"/>
        <rFont val="Calibri (Corpo)"/>
      </rPr>
      <t>3</t>
    </r>
    <r>
      <rPr>
        <b/>
        <sz val="16"/>
        <color theme="1"/>
        <rFont val="Calibri (Corpo)"/>
      </rPr>
      <t>/s]</t>
    </r>
  </si>
  <si>
    <t>T</t>
  </si>
  <si>
    <t>n</t>
  </si>
  <si>
    <t>h</t>
  </si>
  <si>
    <t>PERC. VOLUME DERIVATO [%]</t>
  </si>
  <si>
    <r>
      <t>VOLUME TOTALE DERIVABILE [m</t>
    </r>
    <r>
      <rPr>
        <b/>
        <vertAlign val="superscript"/>
        <sz val="12"/>
        <color theme="1"/>
        <rFont val="Calibri (Corpo)"/>
      </rPr>
      <t>3</t>
    </r>
    <r>
      <rPr>
        <b/>
        <sz val="12"/>
        <color theme="1"/>
        <rFont val="Calibri"/>
        <family val="2"/>
        <scheme val="minor"/>
      </rPr>
      <t>]</t>
    </r>
  </si>
  <si>
    <r>
      <t>VOLUME DERIVATO [m</t>
    </r>
    <r>
      <rPr>
        <b/>
        <vertAlign val="superscript"/>
        <sz val="12"/>
        <color theme="1"/>
        <rFont val="Calibri (Corpo)"/>
      </rPr>
      <t>3</t>
    </r>
    <r>
      <rPr>
        <b/>
        <sz val="12"/>
        <color theme="1"/>
        <rFont val="Calibri"/>
        <family val="2"/>
        <scheme val="minor"/>
      </rPr>
      <t>]</t>
    </r>
  </si>
  <si>
    <r>
      <t>PORTATE DERIVATA MEDIA [m</t>
    </r>
    <r>
      <rPr>
        <b/>
        <vertAlign val="superscript"/>
        <sz val="12"/>
        <color theme="1"/>
        <rFont val="Calibri (Corpo)"/>
      </rPr>
      <t>3</t>
    </r>
    <r>
      <rPr>
        <b/>
        <sz val="12"/>
        <color theme="1"/>
        <rFont val="Calibri"/>
        <family val="2"/>
        <scheme val="minor"/>
      </rPr>
      <t>/s]</t>
    </r>
  </si>
  <si>
    <t>COEFFICIENTE DI UTILIZZAZIONE DEL CORSO D'ACQUA</t>
  </si>
  <si>
    <t>COEFFICIENTE DI UTILIZZAZIONE DELL'IMPIANTO</t>
  </si>
  <si>
    <t>Qder0</t>
  </si>
  <si>
    <t>Qder0,5</t>
  </si>
  <si>
    <t>Qder1</t>
  </si>
  <si>
    <t>Qder1,5</t>
  </si>
  <si>
    <t>Qder2</t>
  </si>
  <si>
    <t>Qder3</t>
  </si>
  <si>
    <t>Qder5</t>
  </si>
  <si>
    <t>Qder2,5</t>
  </si>
  <si>
    <t>Qder3,5</t>
  </si>
  <si>
    <t>Eder4</t>
  </si>
  <si>
    <t>Qder4,5</t>
  </si>
  <si>
    <t>Coef. Utilizzazione del corso d'acqua</t>
  </si>
  <si>
    <t>Coef. Utilizzazione  dell'impianto</t>
  </si>
  <si>
    <r>
      <t>Q</t>
    </r>
    <r>
      <rPr>
        <vertAlign val="subscript"/>
        <sz val="12"/>
        <color theme="1"/>
        <rFont val="Calibri (Corpo)"/>
      </rPr>
      <t>P</t>
    </r>
  </si>
  <si>
    <t>Portata di progetto</t>
  </si>
  <si>
    <t>VALUTAZIONE DEL SALTO DISPONIBILE</t>
  </si>
  <si>
    <t xml:space="preserve">           SALTO LORDO</t>
  </si>
  <si>
    <t>Diametro condotta     D</t>
  </si>
  <si>
    <t>[m/s]</t>
  </si>
  <si>
    <t>[m]</t>
  </si>
  <si>
    <r>
      <t xml:space="preserve">Coeff. Di Manning       </t>
    </r>
    <r>
      <rPr>
        <sz val="12"/>
        <color rgb="FFFF0000"/>
        <rFont val="Calibri (Corpo)"/>
      </rPr>
      <t>n</t>
    </r>
  </si>
  <si>
    <r>
      <t xml:space="preserve">Lunghezza condotta    </t>
    </r>
    <r>
      <rPr>
        <sz val="12"/>
        <color rgb="FFFF0000"/>
        <rFont val="Calibri (Corpo)"/>
      </rPr>
      <t>L</t>
    </r>
  </si>
  <si>
    <r>
      <t xml:space="preserve">Velocità in condotta   </t>
    </r>
    <r>
      <rPr>
        <sz val="12"/>
        <color rgb="FFFF0000"/>
        <rFont val="Calibri (Corpo)"/>
      </rPr>
      <t>v</t>
    </r>
  </si>
  <si>
    <t>Diametro di commercio</t>
  </si>
  <si>
    <t>%</t>
  </si>
  <si>
    <t xml:space="preserve">    PORTATA DI PROGETTO</t>
  </si>
  <si>
    <t xml:space="preserve">        </t>
  </si>
  <si>
    <r>
      <t>[m</t>
    </r>
    <r>
      <rPr>
        <b/>
        <vertAlign val="superscript"/>
        <sz val="12"/>
        <color theme="1"/>
        <rFont val="Calibri (Corpo)"/>
      </rPr>
      <t>3</t>
    </r>
    <r>
      <rPr>
        <b/>
        <sz val="12"/>
        <color theme="1"/>
        <rFont val="Calibri (Corpo)"/>
      </rPr>
      <t>/s]</t>
    </r>
  </si>
  <si>
    <t>[rpm]</t>
  </si>
  <si>
    <t>POTENZA IDRAULICA</t>
  </si>
  <si>
    <t>[W]</t>
  </si>
  <si>
    <t>[kW]</t>
  </si>
  <si>
    <r>
      <t>CALCOLO PORTATA DI PROGETTO Q</t>
    </r>
    <r>
      <rPr>
        <b/>
        <vertAlign val="subscript"/>
        <sz val="18"/>
        <color rgb="FF002060"/>
        <rFont val="Calibri (Corpo)"/>
      </rPr>
      <t xml:space="preserve">P </t>
    </r>
    <r>
      <rPr>
        <b/>
        <sz val="18"/>
        <color rgb="FF002060"/>
        <rFont val="Calibri (Corpo)"/>
      </rPr>
      <t>:</t>
    </r>
  </si>
  <si>
    <r>
      <t>CALCOLO PORTATA DERIVATA Q</t>
    </r>
    <r>
      <rPr>
        <b/>
        <vertAlign val="subscript"/>
        <sz val="18"/>
        <color rgb="FF002060"/>
        <rFont val="Calibri (Corpo)"/>
      </rPr>
      <t xml:space="preserve">D </t>
    </r>
    <r>
      <rPr>
        <b/>
        <sz val="18"/>
        <color rgb="FF002060"/>
        <rFont val="Calibri (Corpo)"/>
      </rPr>
      <t>:</t>
    </r>
  </si>
  <si>
    <r>
      <t>STIMA DEL SALTO NETTO H</t>
    </r>
    <r>
      <rPr>
        <b/>
        <vertAlign val="subscript"/>
        <sz val="18"/>
        <color rgb="FF002060"/>
        <rFont val="Calibri (Corpo)"/>
      </rPr>
      <t>N</t>
    </r>
    <r>
      <rPr>
        <b/>
        <sz val="18"/>
        <color rgb="FF002060"/>
        <rFont val="Calibri (Corpo)"/>
      </rPr>
      <t>:</t>
    </r>
  </si>
  <si>
    <t>KAPLAN</t>
  </si>
  <si>
    <t>CROSSFLOW</t>
  </si>
  <si>
    <t>FRANCIS</t>
  </si>
  <si>
    <t>PELTON</t>
  </si>
  <si>
    <t>Q/Qp</t>
  </si>
  <si>
    <t>η</t>
  </si>
  <si>
    <r>
      <t>Q [m</t>
    </r>
    <r>
      <rPr>
        <b/>
        <vertAlign val="superscript"/>
        <sz val="12"/>
        <color theme="1"/>
        <rFont val="Calibri (Corpo)"/>
      </rPr>
      <t>3</t>
    </r>
    <r>
      <rPr>
        <b/>
        <sz val="12"/>
        <color theme="1"/>
        <rFont val="Calibri (Corpo)"/>
      </rPr>
      <t>/s]</t>
    </r>
  </si>
  <si>
    <r>
      <t>%Q</t>
    </r>
    <r>
      <rPr>
        <b/>
        <vertAlign val="subscript"/>
        <sz val="12"/>
        <color theme="1"/>
        <rFont val="Calibri (Corpo)"/>
      </rPr>
      <t>P</t>
    </r>
  </si>
  <si>
    <t xml:space="preserve"> </t>
  </si>
  <si>
    <t>ALTRO</t>
  </si>
  <si>
    <r>
      <t>Q/Q</t>
    </r>
    <r>
      <rPr>
        <b/>
        <vertAlign val="subscript"/>
        <sz val="12"/>
        <color theme="1"/>
        <rFont val="Calibri (Corpo)"/>
      </rPr>
      <t>MIN</t>
    </r>
  </si>
  <si>
    <t>VALUTAZIONE DEL POTENZIALE</t>
  </si>
  <si>
    <r>
      <t xml:space="preserve">            SALTO NETTO H</t>
    </r>
    <r>
      <rPr>
        <vertAlign val="subscript"/>
        <sz val="12"/>
        <color theme="1"/>
        <rFont val="Calibri (Corpo)"/>
      </rPr>
      <t>n</t>
    </r>
  </si>
  <si>
    <r>
      <t>PORTATA DI PROGETTO Q</t>
    </r>
    <r>
      <rPr>
        <vertAlign val="subscript"/>
        <sz val="12"/>
        <color theme="1"/>
        <rFont val="Calibri (Corpo)"/>
      </rPr>
      <t>p</t>
    </r>
  </si>
  <si>
    <r>
      <t xml:space="preserve">VELOCITA' DI ROTAZIONE </t>
    </r>
    <r>
      <rPr>
        <sz val="12"/>
        <color rgb="FFFF0000"/>
        <rFont val="Calibri (Corpo)"/>
      </rPr>
      <t>n</t>
    </r>
  </si>
  <si>
    <r>
      <t>Efficienza turbina alla portata Q</t>
    </r>
    <r>
      <rPr>
        <vertAlign val="subscript"/>
        <sz val="12"/>
        <color theme="1"/>
        <rFont val="Calibri (Corpo)"/>
      </rPr>
      <t>P</t>
    </r>
  </si>
  <si>
    <t>Qm/Qp</t>
  </si>
  <si>
    <t>BEFORE</t>
  </si>
  <si>
    <t>AFTER</t>
  </si>
  <si>
    <r>
      <t xml:space="preserve">         EFFICIENZA ALLA PORTATA  Q</t>
    </r>
    <r>
      <rPr>
        <b/>
        <vertAlign val="subscript"/>
        <sz val="14"/>
        <color theme="1"/>
        <rFont val="Calibri (Corpo)"/>
      </rPr>
      <t>med_der</t>
    </r>
  </si>
  <si>
    <r>
      <t xml:space="preserve">                EFFICIENZA ALLA PORTATA  Q</t>
    </r>
    <r>
      <rPr>
        <b/>
        <vertAlign val="subscript"/>
        <sz val="14"/>
        <color theme="1"/>
        <rFont val="Calibri (Corpo)"/>
      </rPr>
      <t>P</t>
    </r>
  </si>
  <si>
    <r>
      <t xml:space="preserve">           MASSIMA EFFICIENZA TURBINA  η</t>
    </r>
    <r>
      <rPr>
        <b/>
        <vertAlign val="subscript"/>
        <sz val="14"/>
        <color theme="1"/>
        <rFont val="Calibri (Corpo)"/>
      </rPr>
      <t>MAX</t>
    </r>
  </si>
  <si>
    <t>[MWh]</t>
  </si>
  <si>
    <t>[giorni]</t>
  </si>
  <si>
    <t>RENDIMENTO</t>
  </si>
  <si>
    <t>Qd/Qp</t>
  </si>
  <si>
    <t xml:space="preserve"> x</t>
  </si>
  <si>
    <t xml:space="preserve">y </t>
  </si>
  <si>
    <r>
      <t>Q</t>
    </r>
    <r>
      <rPr>
        <vertAlign val="subscript"/>
        <sz val="12"/>
        <color theme="1"/>
        <rFont val="Calibri (Corpo)"/>
      </rPr>
      <t xml:space="preserve">P </t>
    </r>
  </si>
  <si>
    <r>
      <t>H</t>
    </r>
    <r>
      <rPr>
        <vertAlign val="subscript"/>
        <sz val="12"/>
        <color theme="1"/>
        <rFont val="Calibri (Corpo)"/>
      </rPr>
      <t xml:space="preserve">L </t>
    </r>
  </si>
  <si>
    <r>
      <t>[m</t>
    </r>
    <r>
      <rPr>
        <vertAlign val="superscript"/>
        <sz val="12"/>
        <color theme="1"/>
        <rFont val="Calibri (Corpo)"/>
      </rPr>
      <t>3</t>
    </r>
    <r>
      <rPr>
        <sz val="12"/>
        <color theme="1"/>
        <rFont val="Calibri"/>
        <family val="2"/>
        <scheme val="minor"/>
      </rPr>
      <t>/s]</t>
    </r>
  </si>
  <si>
    <r>
      <t>[m</t>
    </r>
    <r>
      <rPr>
        <vertAlign val="superscript"/>
        <sz val="12"/>
        <color theme="1"/>
        <rFont val="Calibri (Corpo)"/>
      </rPr>
      <t>-1/3</t>
    </r>
    <r>
      <rPr>
        <sz val="12"/>
        <color theme="1"/>
        <rFont val="Calibri (Corpo)"/>
      </rPr>
      <t>s]</t>
    </r>
  </si>
  <si>
    <t xml:space="preserve">PORTATA DERIVATA MED </t>
  </si>
  <si>
    <t xml:space="preserve">DIAMETRO </t>
  </si>
  <si>
    <t>PERDITE CONTINUE</t>
  </si>
  <si>
    <t>SALTO NETTO</t>
  </si>
  <si>
    <r>
      <t>Efficienza turbina alla portata Q</t>
    </r>
    <r>
      <rPr>
        <vertAlign val="subscript"/>
        <sz val="12"/>
        <color theme="1"/>
        <rFont val="Calibri (Corpo)"/>
      </rPr>
      <t>DERMED</t>
    </r>
  </si>
  <si>
    <r>
      <t>Q</t>
    </r>
    <r>
      <rPr>
        <vertAlign val="subscript"/>
        <sz val="12"/>
        <color theme="1"/>
        <rFont val="Calibri (Corpo)"/>
      </rPr>
      <t>NETTA</t>
    </r>
  </si>
  <si>
    <r>
      <t>Q</t>
    </r>
    <r>
      <rPr>
        <vertAlign val="subscript"/>
        <sz val="12"/>
        <color theme="1"/>
        <rFont val="Calibri (Corpo)"/>
      </rPr>
      <t>DER</t>
    </r>
    <r>
      <rPr>
        <sz val="12"/>
        <color theme="1"/>
        <rFont val="Calibri (Corpo)"/>
      </rPr>
      <t>/Q</t>
    </r>
    <r>
      <rPr>
        <vertAlign val="subscript"/>
        <sz val="12"/>
        <color theme="1"/>
        <rFont val="Calibri (Corpo)"/>
      </rPr>
      <t>P</t>
    </r>
  </si>
  <si>
    <r>
      <t>η</t>
    </r>
    <r>
      <rPr>
        <vertAlign val="subscript"/>
        <sz val="12"/>
        <color theme="1"/>
        <rFont val="Calibri (Corpo)"/>
      </rPr>
      <t>DER</t>
    </r>
  </si>
  <si>
    <t xml:space="preserve"> SCELTA TIPO DI TURBINA</t>
  </si>
  <si>
    <t>STIMA DELL'INVESTIMENTO</t>
  </si>
  <si>
    <t>POTENZA IDRAULICA SITO</t>
  </si>
  <si>
    <t xml:space="preserve">TIPOLOGIA TURBINA </t>
  </si>
  <si>
    <t xml:space="preserve">PELTON </t>
  </si>
  <si>
    <t>STIMA COSTO DI INVESTIMENTO INIZIALE</t>
  </si>
  <si>
    <t xml:space="preserve">   COSTO EQUIPAGGIAMENTO ELETTROMECCANICO</t>
  </si>
  <si>
    <t>STRUTTURA DI DERIVAZIONE E GRIGLIA</t>
  </si>
  <si>
    <t>Scavo terreno sciolto</t>
  </si>
  <si>
    <t>Scavo roccia</t>
  </si>
  <si>
    <t>Calcestruzzo debolmente armato</t>
  </si>
  <si>
    <t>Cemento armato</t>
  </si>
  <si>
    <t>Casseri</t>
  </si>
  <si>
    <t>Gabbioni</t>
  </si>
  <si>
    <t xml:space="preserve">Griglia </t>
  </si>
  <si>
    <t>Parti metalliche</t>
  </si>
  <si>
    <t>TOTALE</t>
  </si>
  <si>
    <t xml:space="preserve">OPERE DI CONVOGLIAMENTO </t>
  </si>
  <si>
    <t>Scavo roccia in trincea</t>
  </si>
  <si>
    <t>Canale in c.a.</t>
  </si>
  <si>
    <t xml:space="preserve">Attraversamenti </t>
  </si>
  <si>
    <t>Vasca di carico</t>
  </si>
  <si>
    <t>CONDOTTA FORZATA</t>
  </si>
  <si>
    <t xml:space="preserve">Tubazione </t>
  </si>
  <si>
    <t>Protezione superficie esterna</t>
  </si>
  <si>
    <t>Scavi e rinterri</t>
  </si>
  <si>
    <t>Selle</t>
  </si>
  <si>
    <t>Blocchi di ancoraggio</t>
  </si>
  <si>
    <t>Pozzetto piezometrico</t>
  </si>
  <si>
    <t>Pezzi speciali (giunti, attraversamenti…)</t>
  </si>
  <si>
    <t>CENTRALE E MACCHINE</t>
  </si>
  <si>
    <t xml:space="preserve">Scavo </t>
  </si>
  <si>
    <t>Edificio</t>
  </si>
  <si>
    <t>Macchinario</t>
  </si>
  <si>
    <t xml:space="preserve">Impianti elettrici e linea </t>
  </si>
  <si>
    <t>Canali di restituzione</t>
  </si>
  <si>
    <t>ACCESSI</t>
  </si>
  <si>
    <t>Accessi a derivazione e centrale</t>
  </si>
  <si>
    <t>TOTALE LAVORI E FORNITURE</t>
  </si>
  <si>
    <t>VARIE E IMPREVISTI (% lavori e forniture)</t>
  </si>
  <si>
    <t>SUBTOTALE</t>
  </si>
  <si>
    <t xml:space="preserve">IVA </t>
  </si>
  <si>
    <t>COSTO TOTALE</t>
  </si>
  <si>
    <t>MISURA</t>
  </si>
  <si>
    <r>
      <t>m</t>
    </r>
    <r>
      <rPr>
        <vertAlign val="superscript"/>
        <sz val="12"/>
        <color theme="1"/>
        <rFont val="Calibri (Corpo)"/>
      </rPr>
      <t>3</t>
    </r>
  </si>
  <si>
    <r>
      <t>m</t>
    </r>
    <r>
      <rPr>
        <vertAlign val="superscript"/>
        <sz val="12"/>
        <color theme="1"/>
        <rFont val="Calibri (Corpo)"/>
      </rPr>
      <t>2</t>
    </r>
  </si>
  <si>
    <t>kg</t>
  </si>
  <si>
    <t>m</t>
  </si>
  <si>
    <t>n°</t>
  </si>
  <si>
    <t>kW</t>
  </si>
  <si>
    <t>QUANTITA'</t>
  </si>
  <si>
    <t>€ UNITARIO €</t>
  </si>
  <si>
    <t>€ PARZIALE €</t>
  </si>
  <si>
    <t>€ TOTALE €</t>
  </si>
  <si>
    <t>CATEGORIA</t>
  </si>
  <si>
    <r>
      <t>SALTO NETTO H</t>
    </r>
    <r>
      <rPr>
        <vertAlign val="subscript"/>
        <sz val="12"/>
        <color theme="1"/>
        <rFont val="Calibri (Corpo)"/>
      </rPr>
      <t>n</t>
    </r>
  </si>
  <si>
    <t>DIAMETRO CONDOTTA     D</t>
  </si>
  <si>
    <t>LUNGHEZZA CONDOTTA   L</t>
  </si>
  <si>
    <r>
      <t>PORTATA DI PROGETTO  Q</t>
    </r>
    <r>
      <rPr>
        <vertAlign val="subscript"/>
        <sz val="12"/>
        <color theme="1"/>
        <rFont val="Calibri (Corpo)"/>
      </rPr>
      <t>p</t>
    </r>
  </si>
  <si>
    <r>
      <t>[m</t>
    </r>
    <r>
      <rPr>
        <vertAlign val="superscript"/>
        <sz val="12"/>
        <color theme="1"/>
        <rFont val="Calibri (Corpo)"/>
      </rPr>
      <t>3</t>
    </r>
    <r>
      <rPr>
        <sz val="12"/>
        <color theme="1"/>
        <rFont val="Calibri (Corpo)"/>
      </rPr>
      <t>/s]</t>
    </r>
  </si>
  <si>
    <t>FUNZIONI DI COSTO PER LE OPERE DI PRESA</t>
  </si>
  <si>
    <t>PARAMETRI</t>
  </si>
  <si>
    <t>a</t>
  </si>
  <si>
    <t>b</t>
  </si>
  <si>
    <t>c</t>
  </si>
  <si>
    <t>FUNZIONI DI COSTO AL METRO PER IL CANALE</t>
  </si>
  <si>
    <t>L</t>
  </si>
  <si>
    <r>
      <t>C</t>
    </r>
    <r>
      <rPr>
        <vertAlign val="subscript"/>
        <sz val="12"/>
        <color theme="1"/>
        <rFont val="Calibri (Corpo)"/>
      </rPr>
      <t>P</t>
    </r>
    <r>
      <rPr>
        <sz val="12"/>
        <color theme="1"/>
        <rFont val="Calibri (Corpo)"/>
      </rPr>
      <t>[€] = a*Q</t>
    </r>
    <r>
      <rPr>
        <vertAlign val="subscript"/>
        <sz val="12"/>
        <color theme="1"/>
        <rFont val="Calibri (Corpo)"/>
      </rPr>
      <t>P</t>
    </r>
    <r>
      <rPr>
        <vertAlign val="superscript"/>
        <sz val="12"/>
        <color theme="1"/>
        <rFont val="Calibri (Corpo)"/>
      </rPr>
      <t>2</t>
    </r>
    <r>
      <rPr>
        <sz val="12"/>
        <color theme="1"/>
        <rFont val="Calibri (Corpo)"/>
      </rPr>
      <t>[m</t>
    </r>
    <r>
      <rPr>
        <vertAlign val="superscript"/>
        <sz val="12"/>
        <color theme="1"/>
        <rFont val="Calibri (Corpo)"/>
      </rPr>
      <t>3</t>
    </r>
    <r>
      <rPr>
        <sz val="12"/>
        <color theme="1"/>
        <rFont val="Calibri (Corpo)"/>
      </rPr>
      <t>/s]</t>
    </r>
    <r>
      <rPr>
        <vertAlign val="superscript"/>
        <sz val="12"/>
        <color theme="1"/>
        <rFont val="Calibri (Corpo)"/>
      </rPr>
      <t>2</t>
    </r>
    <r>
      <rPr>
        <sz val="12"/>
        <color theme="1"/>
        <rFont val="Calibri (Corpo)"/>
      </rPr>
      <t xml:space="preserve"> + b*Q</t>
    </r>
    <r>
      <rPr>
        <vertAlign val="subscript"/>
        <sz val="12"/>
        <color theme="1"/>
        <rFont val="Calibri (Corpo)"/>
      </rPr>
      <t>P</t>
    </r>
    <r>
      <rPr>
        <sz val="12"/>
        <color theme="1"/>
        <rFont val="Calibri (Corpo)"/>
      </rPr>
      <t>[m</t>
    </r>
    <r>
      <rPr>
        <vertAlign val="superscript"/>
        <sz val="12"/>
        <color theme="1"/>
        <rFont val="Calibri (Corpo)"/>
      </rPr>
      <t>3</t>
    </r>
    <r>
      <rPr>
        <sz val="12"/>
        <color theme="1"/>
        <rFont val="Calibri (Corpo)"/>
      </rPr>
      <t>/s] + c</t>
    </r>
  </si>
  <si>
    <t>FUNZIONI DI COSTO AL METRO PER CONDOTTA FORZATA</t>
  </si>
  <si>
    <t>D</t>
  </si>
  <si>
    <t>FUNZIONI DI COSTO PER LA CENTRALE (TURBINA)</t>
  </si>
  <si>
    <t>P</t>
  </si>
  <si>
    <r>
      <t>C</t>
    </r>
    <r>
      <rPr>
        <vertAlign val="subscript"/>
        <sz val="12"/>
        <color theme="1"/>
        <rFont val="Calibri (Corpo)"/>
      </rPr>
      <t>CE</t>
    </r>
    <r>
      <rPr>
        <sz val="12"/>
        <color theme="1"/>
        <rFont val="Calibri (Corpo)"/>
      </rPr>
      <t>[€] = a*P</t>
    </r>
    <r>
      <rPr>
        <vertAlign val="superscript"/>
        <sz val="12"/>
        <color theme="1"/>
        <rFont val="Calibri (Corpo)"/>
      </rPr>
      <t>2</t>
    </r>
    <r>
      <rPr>
        <sz val="12"/>
        <color theme="1"/>
        <rFont val="Calibri (Corpo)"/>
      </rPr>
      <t>[kW]</t>
    </r>
    <r>
      <rPr>
        <vertAlign val="superscript"/>
        <sz val="12"/>
        <color theme="1"/>
        <rFont val="Calibri (Corpo)"/>
      </rPr>
      <t>2</t>
    </r>
    <r>
      <rPr>
        <sz val="12"/>
        <color theme="1"/>
        <rFont val="Calibri (Corpo)"/>
      </rPr>
      <t xml:space="preserve"> + b*P[kW] + c</t>
    </r>
  </si>
  <si>
    <t xml:space="preserve">COSTO TOTALE </t>
  </si>
  <si>
    <r>
      <t>C</t>
    </r>
    <r>
      <rPr>
        <vertAlign val="subscript"/>
        <sz val="12"/>
        <color theme="1"/>
        <rFont val="Calibri (Corpo)"/>
      </rPr>
      <t>CA</t>
    </r>
    <r>
      <rPr>
        <sz val="12"/>
        <color theme="1"/>
        <rFont val="Calibri (Corpo)"/>
      </rPr>
      <t>[€/m] = a*Q</t>
    </r>
    <r>
      <rPr>
        <vertAlign val="subscript"/>
        <sz val="12"/>
        <color theme="1"/>
        <rFont val="Calibri (Corpo)"/>
      </rPr>
      <t>P</t>
    </r>
    <r>
      <rPr>
        <vertAlign val="superscript"/>
        <sz val="12"/>
        <color theme="1"/>
        <rFont val="Calibri (Corpo)"/>
      </rPr>
      <t>2</t>
    </r>
    <r>
      <rPr>
        <sz val="12"/>
        <color theme="1"/>
        <rFont val="Calibri (Corpo)"/>
      </rPr>
      <t>[m</t>
    </r>
    <r>
      <rPr>
        <vertAlign val="superscript"/>
        <sz val="12"/>
        <color theme="1"/>
        <rFont val="Calibri (Corpo)"/>
      </rPr>
      <t>3</t>
    </r>
    <r>
      <rPr>
        <sz val="12"/>
        <color theme="1"/>
        <rFont val="Calibri (Corpo)"/>
      </rPr>
      <t>/s]</t>
    </r>
    <r>
      <rPr>
        <vertAlign val="superscript"/>
        <sz val="12"/>
        <color theme="1"/>
        <rFont val="Calibri (Corpo)"/>
      </rPr>
      <t>2</t>
    </r>
    <r>
      <rPr>
        <sz val="12"/>
        <color theme="1"/>
        <rFont val="Calibri (Corpo)"/>
      </rPr>
      <t xml:space="preserve"> + b*Q</t>
    </r>
    <r>
      <rPr>
        <vertAlign val="subscript"/>
        <sz val="12"/>
        <color theme="1"/>
        <rFont val="Calibri (Corpo)"/>
      </rPr>
      <t>P</t>
    </r>
    <r>
      <rPr>
        <sz val="12"/>
        <color theme="1"/>
        <rFont val="Calibri (Corpo)"/>
      </rPr>
      <t>[m</t>
    </r>
    <r>
      <rPr>
        <vertAlign val="superscript"/>
        <sz val="12"/>
        <color theme="1"/>
        <rFont val="Calibri (Corpo)"/>
      </rPr>
      <t>3</t>
    </r>
    <r>
      <rPr>
        <sz val="12"/>
        <color theme="1"/>
        <rFont val="Calibri (Corpo)"/>
      </rPr>
      <t>/s] + c</t>
    </r>
  </si>
  <si>
    <r>
      <t>C</t>
    </r>
    <r>
      <rPr>
        <vertAlign val="subscript"/>
        <sz val="12"/>
        <color theme="1"/>
        <rFont val="Calibri (Corpo)"/>
      </rPr>
      <t>CF</t>
    </r>
    <r>
      <rPr>
        <sz val="12"/>
        <color theme="1"/>
        <rFont val="Calibri (Corpo)"/>
      </rPr>
      <t>[€/m] = a*D</t>
    </r>
    <r>
      <rPr>
        <vertAlign val="superscript"/>
        <sz val="12"/>
        <color theme="1"/>
        <rFont val="Calibri (Corpo)"/>
      </rPr>
      <t>2</t>
    </r>
    <r>
      <rPr>
        <sz val="12"/>
        <color theme="1"/>
        <rFont val="Calibri (Corpo)"/>
      </rPr>
      <t>[m]</t>
    </r>
    <r>
      <rPr>
        <vertAlign val="superscript"/>
        <sz val="12"/>
        <color theme="1"/>
        <rFont val="Calibri (Corpo)"/>
      </rPr>
      <t>2</t>
    </r>
    <r>
      <rPr>
        <sz val="12"/>
        <color theme="1"/>
        <rFont val="Calibri (Corpo)"/>
      </rPr>
      <t xml:space="preserve"> + b*D[m] + c</t>
    </r>
  </si>
  <si>
    <r>
      <t>C</t>
    </r>
    <r>
      <rPr>
        <b/>
        <vertAlign val="subscript"/>
        <sz val="12"/>
        <color theme="1"/>
        <rFont val="Calibri (Corpo)"/>
      </rPr>
      <t>P</t>
    </r>
  </si>
  <si>
    <r>
      <t>C</t>
    </r>
    <r>
      <rPr>
        <b/>
        <vertAlign val="subscript"/>
        <sz val="12"/>
        <color theme="1"/>
        <rFont val="Calibri (Corpo)"/>
      </rPr>
      <t>CA</t>
    </r>
  </si>
  <si>
    <r>
      <t>C</t>
    </r>
    <r>
      <rPr>
        <b/>
        <vertAlign val="subscript"/>
        <sz val="12"/>
        <color theme="1"/>
        <rFont val="Calibri (Corpo)"/>
      </rPr>
      <t>CF</t>
    </r>
  </si>
  <si>
    <r>
      <t>C</t>
    </r>
    <r>
      <rPr>
        <b/>
        <vertAlign val="subscript"/>
        <sz val="12"/>
        <color theme="1"/>
        <rFont val="Calibri (Corpo)"/>
      </rPr>
      <t>CE</t>
    </r>
  </si>
  <si>
    <t>[MW}</t>
  </si>
  <si>
    <r>
      <t>COSTO INVESTIMENTO INIZIALE C</t>
    </r>
    <r>
      <rPr>
        <vertAlign val="subscript"/>
        <sz val="12"/>
        <color theme="1"/>
        <rFont val="Calibri (Corpo)"/>
      </rPr>
      <t>I</t>
    </r>
  </si>
  <si>
    <r>
      <t>COSTI ESERCIZIO E MANUTENZIONE C</t>
    </r>
    <r>
      <rPr>
        <vertAlign val="subscript"/>
        <sz val="12"/>
        <color theme="1"/>
        <rFont val="Calibri (Corpo)"/>
      </rPr>
      <t>O&amp;M</t>
    </r>
  </si>
  <si>
    <t>[M€/MW]</t>
  </si>
  <si>
    <r>
      <t>POTENZA IDRAULICA P</t>
    </r>
    <r>
      <rPr>
        <vertAlign val="subscript"/>
        <sz val="12"/>
        <color theme="1"/>
        <rFont val="Calibri (Corpo)"/>
      </rPr>
      <t>MAX</t>
    </r>
  </si>
  <si>
    <t>COMPUTO METRICO ESTIMATIVO</t>
  </si>
  <si>
    <t>FORMULE RSE</t>
  </si>
  <si>
    <t>VALUTAZIONE SEMPLICE OTTIMISTICA</t>
  </si>
  <si>
    <t>VALUTAZIONE SEMPLICE PESSIMISTICA</t>
  </si>
  <si>
    <t xml:space="preserve">   ANALISI FINANZIARIA </t>
  </si>
  <si>
    <r>
      <t>COSTO INVESTIMENTO INIZIALE C</t>
    </r>
    <r>
      <rPr>
        <b/>
        <vertAlign val="subscript"/>
        <sz val="26"/>
        <color theme="1"/>
        <rFont val="Calibri (Corpo)"/>
      </rPr>
      <t>C</t>
    </r>
  </si>
  <si>
    <r>
      <t>Potenza Nominale impianto P</t>
    </r>
    <r>
      <rPr>
        <vertAlign val="subscript"/>
        <sz val="12"/>
        <color theme="1"/>
        <rFont val="Calibri (Corpo)"/>
      </rPr>
      <t>NOM</t>
    </r>
  </si>
  <si>
    <r>
      <t>Costo di Investimento Iniziale C</t>
    </r>
    <r>
      <rPr>
        <vertAlign val="subscript"/>
        <sz val="12"/>
        <color rgb="FF002060"/>
        <rFont val="Calibri (Corpo)"/>
      </rPr>
      <t>C</t>
    </r>
  </si>
  <si>
    <r>
      <t>Percentuale Costi di Manutenzione C</t>
    </r>
    <r>
      <rPr>
        <vertAlign val="subscript"/>
        <sz val="12"/>
        <color theme="1"/>
        <rFont val="Calibri (Corpo)"/>
      </rPr>
      <t>MAN%</t>
    </r>
  </si>
  <si>
    <r>
      <t>Parametro Tasse e Canoni Fisso C</t>
    </r>
    <r>
      <rPr>
        <vertAlign val="subscript"/>
        <sz val="12"/>
        <color theme="1"/>
        <rFont val="Calibri (Corpo)"/>
      </rPr>
      <t>FISSO</t>
    </r>
  </si>
  <si>
    <r>
      <t>Parametro Tasse e Canoni C</t>
    </r>
    <r>
      <rPr>
        <vertAlign val="subscript"/>
        <sz val="12"/>
        <color theme="1"/>
        <rFont val="Calibri (Corpo)"/>
      </rPr>
      <t>TAX</t>
    </r>
  </si>
  <si>
    <t>[€]</t>
  </si>
  <si>
    <t>[%]</t>
  </si>
  <si>
    <t>[€] (2018)</t>
  </si>
  <si>
    <t>[€/kW] (2018)</t>
  </si>
  <si>
    <t>[€/anno]</t>
  </si>
  <si>
    <r>
      <t>COSTI DI GESTIONE E MANUTENZIONE C</t>
    </r>
    <r>
      <rPr>
        <b/>
        <vertAlign val="subscript"/>
        <sz val="12"/>
        <color theme="1"/>
        <rFont val="Calibri (Corpo)"/>
      </rPr>
      <t>1</t>
    </r>
  </si>
  <si>
    <t>COSTI ANNUI TOTALI</t>
  </si>
  <si>
    <t>Prezzo Minimo Garantito PMG</t>
  </si>
  <si>
    <t xml:space="preserve">Producibilità Annua </t>
  </si>
  <si>
    <t>[€/MWh]</t>
  </si>
  <si>
    <t>[€/kWh]</t>
  </si>
  <si>
    <t>PREZZO MINIMO GARANTITO</t>
  </si>
  <si>
    <r>
      <t>INSERIMENTO DEL PREZZO DI CESSIONE DELL'ENERGIA p</t>
    </r>
    <r>
      <rPr>
        <b/>
        <vertAlign val="subscript"/>
        <sz val="12"/>
        <color theme="1"/>
        <rFont val="Calibri (Corpo)"/>
      </rPr>
      <t xml:space="preserve">CE </t>
    </r>
    <r>
      <rPr>
        <b/>
        <sz val="12"/>
        <color theme="1"/>
        <rFont val="Calibri (Corpo)"/>
      </rPr>
      <t>:</t>
    </r>
  </si>
  <si>
    <r>
      <t>PREZZO DI CESSIONE DELL'ENERGIA p</t>
    </r>
    <r>
      <rPr>
        <b/>
        <vertAlign val="subscript"/>
        <sz val="12"/>
        <color theme="1"/>
        <rFont val="Calibri (Corpo)"/>
      </rPr>
      <t>CE</t>
    </r>
  </si>
  <si>
    <t xml:space="preserve">BENEFICI ANNUI TOTALI </t>
  </si>
  <si>
    <r>
      <t xml:space="preserve">VITA DI PROGETTO IMPIANTO         </t>
    </r>
    <r>
      <rPr>
        <sz val="12"/>
        <color rgb="FFFF0000"/>
        <rFont val="Calibri (Corpo)"/>
      </rPr>
      <t>n</t>
    </r>
  </si>
  <si>
    <r>
      <t xml:space="preserve">TASSO DI ATTUALIZZAZIONE             </t>
    </r>
    <r>
      <rPr>
        <sz val="12"/>
        <color rgb="FFFF0000"/>
        <rFont val="Calibri (Corpo)"/>
      </rPr>
      <t>i</t>
    </r>
  </si>
  <si>
    <t>[anni]</t>
  </si>
  <si>
    <t>BENEFICI ANNUI TOTALI.                  B</t>
  </si>
  <si>
    <t>COSTI ANNUI TOTALI                         C</t>
  </si>
  <si>
    <t>COSTI E RICAVI ANNO 0</t>
  </si>
  <si>
    <t>COSTI E RICAVI ANNO J≠0</t>
  </si>
  <si>
    <t>ANNI</t>
  </si>
  <si>
    <t>COSTI</t>
  </si>
  <si>
    <t>RICAVI</t>
  </si>
  <si>
    <t>VALORE ATTUALE NETTO  VAN</t>
  </si>
  <si>
    <t>ANNO</t>
  </si>
  <si>
    <t>FLUSSO</t>
  </si>
  <si>
    <t>SOMMA FLUSSI</t>
  </si>
  <si>
    <t>INDICE DI RENDIMENTO RATEIZZATO IRA</t>
  </si>
  <si>
    <t>PERIODO DI PAREGGIO RATEIZZATO PPA</t>
  </si>
  <si>
    <t>SOMMA B</t>
  </si>
  <si>
    <t>SOMMA C</t>
  </si>
  <si>
    <r>
      <t>TEMPO DI RITORNO INVESTIMENTO T</t>
    </r>
    <r>
      <rPr>
        <b/>
        <vertAlign val="subscript"/>
        <sz val="16"/>
        <color theme="1"/>
        <rFont val="Calibri (Corpo)"/>
      </rPr>
      <t>R</t>
    </r>
  </si>
  <si>
    <t>RAPPORTO BENEFICI COSTI RBC</t>
  </si>
  <si>
    <t>FLUSSO X</t>
  </si>
  <si>
    <t>FOGLI DI CALCOLO EXCEL PER LA VALUTAZIONE DELLA FATTIBILITA' TECNICO-ECONOMICA DI UN IMPIANTO MINI IDROELETTRICO</t>
  </si>
  <si>
    <t>FRANCESCO PASTA</t>
  </si>
  <si>
    <r>
      <t>INSERIMENTO DELLA Q</t>
    </r>
    <r>
      <rPr>
        <b/>
        <vertAlign val="subscript"/>
        <sz val="12"/>
        <color theme="1"/>
        <rFont val="Calibri (Corpo)"/>
      </rPr>
      <t>P</t>
    </r>
    <r>
      <rPr>
        <b/>
        <sz val="12"/>
        <color theme="1"/>
        <rFont val="Calibri (Corpo)"/>
      </rPr>
      <t>:</t>
    </r>
    <r>
      <rPr>
        <b/>
        <sz val="12"/>
        <color theme="1"/>
        <rFont val="Calibri"/>
        <family val="2"/>
        <scheme val="minor"/>
      </rPr>
      <t xml:space="preserve"> </t>
    </r>
  </si>
  <si>
    <r>
      <t>DEFLUSSO MINIMO VITALE DMV [m</t>
    </r>
    <r>
      <rPr>
        <b/>
        <vertAlign val="superscript"/>
        <sz val="16"/>
        <color theme="1"/>
        <rFont val="Calibri (Corpo)"/>
      </rPr>
      <t>3</t>
    </r>
    <r>
      <rPr>
        <b/>
        <sz val="16"/>
        <color theme="1"/>
        <rFont val="Calibri"/>
        <scheme val="minor"/>
      </rPr>
      <t xml:space="preserve">/s] </t>
    </r>
  </si>
  <si>
    <r>
      <t xml:space="preserve">Coefficiente Di perdita      </t>
    </r>
    <r>
      <rPr>
        <sz val="12"/>
        <color rgb="FFFF0000"/>
        <rFont val="Calibri (Corpo)"/>
      </rPr>
      <t>α</t>
    </r>
  </si>
  <si>
    <r>
      <t xml:space="preserve">            PORTATA MINIMA TURBINABILE Q</t>
    </r>
    <r>
      <rPr>
        <b/>
        <vertAlign val="subscript"/>
        <sz val="14"/>
        <color theme="1"/>
        <rFont val="Calibri (Corpo)"/>
      </rPr>
      <t xml:space="preserve">MIN </t>
    </r>
    <r>
      <rPr>
        <b/>
        <sz val="14"/>
        <color theme="1"/>
        <rFont val="Calibri (Corpo)"/>
      </rPr>
      <t/>
    </r>
  </si>
  <si>
    <t>Giorni di funzionamento dell'impianto</t>
  </si>
  <si>
    <r>
      <t xml:space="preserve">Q </t>
    </r>
    <r>
      <rPr>
        <vertAlign val="subscript"/>
        <sz val="12"/>
        <color theme="1"/>
        <rFont val="Calibri (Corpo)"/>
      </rPr>
      <t>der</t>
    </r>
  </si>
  <si>
    <r>
      <t xml:space="preserve"> P</t>
    </r>
    <r>
      <rPr>
        <vertAlign val="subscript"/>
        <sz val="12"/>
        <color theme="1"/>
        <rFont val="Calibri (Corpo)"/>
      </rPr>
      <t>t</t>
    </r>
  </si>
  <si>
    <r>
      <t>PORTATA</t>
    </r>
    <r>
      <rPr>
        <sz val="12"/>
        <color theme="1"/>
        <rFont val="Calibri"/>
        <family val="2"/>
        <scheme val="minor"/>
      </rPr>
      <t xml:space="preserve"> [m</t>
    </r>
    <r>
      <rPr>
        <vertAlign val="superscript"/>
        <sz val="12"/>
        <color theme="1"/>
        <rFont val="Calibri (Corpo)"/>
      </rPr>
      <t>3</t>
    </r>
    <r>
      <rPr>
        <sz val="12"/>
        <color theme="1"/>
        <rFont val="Calibri (Corpo)"/>
      </rPr>
      <t>/s]</t>
    </r>
  </si>
  <si>
    <t xml:space="preserve"> SCELTA DELLA TURBINA </t>
  </si>
  <si>
    <r>
      <rPr>
        <b/>
        <sz val="12"/>
        <color theme="1"/>
        <rFont val="Calibri"/>
        <family val="2"/>
        <scheme val="minor"/>
      </rPr>
      <t>TASSE E CANONI C</t>
    </r>
    <r>
      <rPr>
        <b/>
        <vertAlign val="subscript"/>
        <sz val="12"/>
        <color theme="1"/>
        <rFont val="Calibri (Corpo)"/>
      </rPr>
      <t>2</t>
    </r>
  </si>
  <si>
    <r>
      <t>PERDITE LOCALIZZATE ∆h</t>
    </r>
    <r>
      <rPr>
        <b/>
        <vertAlign val="subscript"/>
        <sz val="16"/>
        <color theme="1"/>
        <rFont val="Calibri (Corpo)"/>
      </rPr>
      <t>loc</t>
    </r>
  </si>
  <si>
    <r>
      <t>PERDITE CONTINUE ∆h</t>
    </r>
    <r>
      <rPr>
        <b/>
        <vertAlign val="subscript"/>
        <sz val="16"/>
        <color theme="1"/>
        <rFont val="Calibri (Corpo)"/>
      </rPr>
      <t>con</t>
    </r>
  </si>
  <si>
    <r>
      <t>NUMERO DI GIRI SPECIFICO DEL SITO  n</t>
    </r>
    <r>
      <rPr>
        <b/>
        <vertAlign val="subscript"/>
        <sz val="16"/>
        <color theme="1"/>
        <rFont val="Calibri (Corpo)"/>
      </rPr>
      <t>s</t>
    </r>
  </si>
  <si>
    <r>
      <t>PORTATA MEDIA      Q</t>
    </r>
    <r>
      <rPr>
        <b/>
        <vertAlign val="subscript"/>
        <sz val="12"/>
        <color theme="1"/>
        <rFont val="Calibri"/>
        <scheme val="minor"/>
      </rPr>
      <t xml:space="preserve">m </t>
    </r>
    <r>
      <rPr>
        <b/>
        <sz val="12"/>
        <color theme="1"/>
        <rFont val="Calibri (Corpo)"/>
      </rPr>
      <t>[m</t>
    </r>
    <r>
      <rPr>
        <b/>
        <vertAlign val="superscript"/>
        <sz val="12"/>
        <color theme="1"/>
        <rFont val="Calibri (Corpo)"/>
      </rPr>
      <t>3</t>
    </r>
    <r>
      <rPr>
        <b/>
        <sz val="12"/>
        <color theme="1"/>
        <rFont val="Calibri (Corpo)"/>
      </rPr>
      <t>/s]</t>
    </r>
    <r>
      <rPr>
        <b/>
        <vertAlign val="subscript"/>
        <sz val="12"/>
        <color theme="1"/>
        <rFont val="Calibri"/>
        <scheme val="minor"/>
      </rPr>
      <t xml:space="preserve"> </t>
    </r>
  </si>
  <si>
    <r>
      <t>DMV [m</t>
    </r>
    <r>
      <rPr>
        <vertAlign val="superscript"/>
        <sz val="12"/>
        <color theme="1"/>
        <rFont val="Calibri (Corpo)"/>
      </rPr>
      <t>3</t>
    </r>
    <r>
      <rPr>
        <sz val="12"/>
        <color theme="1"/>
        <rFont val="Calibri"/>
        <family val="2"/>
        <scheme val="minor"/>
      </rPr>
      <t>/s]</t>
    </r>
  </si>
  <si>
    <r>
      <t>Q</t>
    </r>
    <r>
      <rPr>
        <vertAlign val="subscript"/>
        <sz val="12"/>
        <color theme="1"/>
        <rFont val="Calibri (Corpo)"/>
      </rPr>
      <t>NET</t>
    </r>
    <r>
      <rPr>
        <sz val="12"/>
        <color theme="1"/>
        <rFont val="Calibri"/>
        <family val="2"/>
        <scheme val="minor"/>
      </rPr>
      <t xml:space="preserve"> [m</t>
    </r>
    <r>
      <rPr>
        <vertAlign val="superscript"/>
        <sz val="12"/>
        <color theme="1"/>
        <rFont val="Calibri (Corpo)"/>
      </rPr>
      <t>3</t>
    </r>
    <r>
      <rPr>
        <sz val="12"/>
        <color theme="1"/>
        <rFont val="Calibri (Corpo)"/>
      </rPr>
      <t>/s]</t>
    </r>
  </si>
  <si>
    <r>
      <t>SALTO NETTO H</t>
    </r>
    <r>
      <rPr>
        <b/>
        <vertAlign val="subscript"/>
        <sz val="20"/>
        <color theme="1"/>
        <rFont val="Calibri (Corpo)"/>
      </rPr>
      <t xml:space="preserve">n </t>
    </r>
  </si>
  <si>
    <t xml:space="preserve">CRITERIO DEL CAMPO DI FUNZIONAMENTO: </t>
  </si>
  <si>
    <r>
      <t>CRITERIO DEL NUMERO DI GIRI SPECIFICO n</t>
    </r>
    <r>
      <rPr>
        <b/>
        <vertAlign val="subscript"/>
        <sz val="18"/>
        <color rgb="FF002060"/>
        <rFont val="Calibri (Corpo)"/>
      </rPr>
      <t>s:</t>
    </r>
  </si>
  <si>
    <t>SCELTA DELLA TURBINA:</t>
  </si>
  <si>
    <r>
      <t xml:space="preserve">Efficienza del generatore                               </t>
    </r>
    <r>
      <rPr>
        <sz val="12"/>
        <color rgb="FFFF0000"/>
        <rFont val="Calibri"/>
        <family val="2"/>
        <scheme val="minor"/>
      </rPr>
      <t xml:space="preserve"> η</t>
    </r>
    <r>
      <rPr>
        <vertAlign val="subscript"/>
        <sz val="12"/>
        <color rgb="FFFF0000"/>
        <rFont val="Calibri (Corpo)"/>
      </rPr>
      <t>gen</t>
    </r>
  </si>
  <si>
    <r>
      <t xml:space="preserve">Efficienza del trasformatore                          </t>
    </r>
    <r>
      <rPr>
        <sz val="12"/>
        <color rgb="FFFF0000"/>
        <rFont val="Calibri"/>
        <family val="2"/>
        <scheme val="minor"/>
      </rPr>
      <t xml:space="preserve"> η</t>
    </r>
    <r>
      <rPr>
        <vertAlign val="subscript"/>
        <sz val="12"/>
        <color rgb="FFFF0000"/>
        <rFont val="Calibri (Corpo)"/>
      </rPr>
      <t>tra</t>
    </r>
  </si>
  <si>
    <r>
      <t xml:space="preserve">Efficienza del moltiplicatore di giri               </t>
    </r>
    <r>
      <rPr>
        <sz val="12"/>
        <color rgb="FFFF0000"/>
        <rFont val="Calibri"/>
        <family val="2"/>
        <scheme val="minor"/>
      </rPr>
      <t xml:space="preserve"> η</t>
    </r>
    <r>
      <rPr>
        <vertAlign val="subscript"/>
        <sz val="12"/>
        <color rgb="FFFF0000"/>
        <rFont val="Calibri (Corpo)"/>
      </rPr>
      <t>mol</t>
    </r>
  </si>
  <si>
    <r>
      <t xml:space="preserve">Percentuale di fermo dell'impianto.               </t>
    </r>
    <r>
      <rPr>
        <sz val="12"/>
        <color rgb="FFFF0000"/>
        <rFont val="Calibri (Corpo)"/>
      </rPr>
      <t>f</t>
    </r>
  </si>
  <si>
    <t>POTENZA DELL'IMPIANTO:</t>
  </si>
  <si>
    <t>PRODUCIBILITA' ANNUA DELL'IMPIANTO:</t>
  </si>
  <si>
    <t xml:space="preserve"> POTENZA MASSIMA DELL'IMPIANTO </t>
  </si>
  <si>
    <t xml:space="preserve">POTENZA NOMINALE DELL'IMPIANTO  </t>
  </si>
  <si>
    <t xml:space="preserve">POTENZA MEDIA DELL'IMPIANTO </t>
  </si>
  <si>
    <r>
      <t xml:space="preserve"> PRODUZIONE ANNUA DI ENERGIA E</t>
    </r>
    <r>
      <rPr>
        <b/>
        <vertAlign val="subscript"/>
        <sz val="16"/>
        <color theme="1"/>
        <rFont val="Calibri (Corpo)"/>
      </rPr>
      <t>annua</t>
    </r>
  </si>
  <si>
    <t>STIMA COSTI DI INVESTIMENTO PER EQUIPAGGIAMENTO ELETTROMECCANICO:</t>
  </si>
  <si>
    <t>[€/kW]</t>
  </si>
  <si>
    <t xml:space="preserve"> FORMULE RSE</t>
  </si>
  <si>
    <t xml:space="preserve"> VALUTAZIONE SEMPLICE PESSIMISTICA</t>
  </si>
  <si>
    <t>COSTI ANNUI:</t>
  </si>
  <si>
    <t>BENEFICI ANNUI:</t>
  </si>
  <si>
    <r>
      <t>Q</t>
    </r>
    <r>
      <rPr>
        <vertAlign val="subscript"/>
        <sz val="12"/>
        <color theme="1"/>
        <rFont val="Calibri (Corpo)"/>
      </rPr>
      <t xml:space="preserve">DER  </t>
    </r>
    <r>
      <rPr>
        <sz val="12"/>
        <color theme="1"/>
        <rFont val="Calibri (Corpo)"/>
      </rPr>
      <t>[m</t>
    </r>
    <r>
      <rPr>
        <vertAlign val="superscript"/>
        <sz val="12"/>
        <color theme="1"/>
        <rFont val="Calibri (Corpo)"/>
      </rPr>
      <t>3</t>
    </r>
    <r>
      <rPr>
        <sz val="12"/>
        <color theme="1"/>
        <rFont val="Calibri (Corpo)"/>
      </rPr>
      <t>/s]</t>
    </r>
  </si>
  <si>
    <t>ANALISI FINANAZIARIA:</t>
  </si>
  <si>
    <t>CURVE DI UTILIZZAZIONE:</t>
  </si>
  <si>
    <r>
      <t xml:space="preserve">LUNGHEZZA CANALE     </t>
    </r>
    <r>
      <rPr>
        <sz val="12"/>
        <color rgb="FFFF0000"/>
        <rFont val="Calibri"/>
        <family val="2"/>
        <scheme val="minor"/>
      </rPr>
      <t>L</t>
    </r>
    <r>
      <rPr>
        <vertAlign val="subscript"/>
        <sz val="12"/>
        <color rgb="FFFF0000"/>
        <rFont val="Calibri (Corpo)"/>
      </rPr>
      <t>CA</t>
    </r>
  </si>
  <si>
    <t>Velocità effettiva</t>
  </si>
  <si>
    <r>
      <t>E</t>
    </r>
    <r>
      <rPr>
        <vertAlign val="subscript"/>
        <sz val="12"/>
        <color theme="1"/>
        <rFont val="Calibri (Corpo)"/>
      </rPr>
      <t>classe</t>
    </r>
  </si>
  <si>
    <t>LEVELIZED COST OF ENERGY    LCOE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</si>
</sst>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"/>
    <numFmt numFmtId="165" formatCode="0.0%"/>
    <numFmt numFmtId="166" formatCode="#,##0.000"/>
    <numFmt numFmtId="167" formatCode="#,##0\ &quot;€&quot;"/>
    <numFmt numFmtId="168" formatCode="#,##0.00\ &quot;€&quot;"/>
    <numFmt numFmtId="169" formatCode="#,##0.000\ &quot;€&quot;"/>
  </numFmts>
  <fonts count="55" x14ac:knownFonts="1">
    <font>
      <sz val="12"/>
      <color theme="1"/>
      <name val="Calibri"/>
      <family val="2"/>
      <scheme val="minor"/>
    </font>
    <font>
      <sz val="12"/>
      <color theme="1"/>
      <name val="Calibri (Corpo)"/>
    </font>
    <font>
      <vertAlign val="superscript"/>
      <sz val="12"/>
      <color theme="1"/>
      <name val="Calibri (Corpo)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vertAlign val="subscript"/>
      <sz val="12"/>
      <color theme="1"/>
      <name val="Calibri"/>
      <scheme val="minor"/>
    </font>
    <font>
      <b/>
      <sz val="12"/>
      <color theme="1"/>
      <name val="Calibri (Corpo)"/>
    </font>
    <font>
      <vertAlign val="subscript"/>
      <sz val="12"/>
      <color theme="1"/>
      <name val="Calibri (Corpo)"/>
    </font>
    <font>
      <b/>
      <vertAlign val="subscript"/>
      <sz val="12"/>
      <color theme="1"/>
      <name val="Calibri (Corpo)"/>
    </font>
    <font>
      <b/>
      <sz val="16"/>
      <color theme="1"/>
      <name val="Calibri"/>
      <scheme val="minor"/>
    </font>
    <font>
      <b/>
      <sz val="24"/>
      <color rgb="FFFF0000"/>
      <name val="Calibri"/>
      <scheme val="minor"/>
    </font>
    <font>
      <b/>
      <vertAlign val="subscript"/>
      <sz val="16"/>
      <color theme="1"/>
      <name val="Calibri (Corpo)"/>
    </font>
    <font>
      <b/>
      <sz val="16"/>
      <color theme="1"/>
      <name val="Calibri (Corpo)"/>
    </font>
    <font>
      <sz val="12"/>
      <color rgb="FF0070C0"/>
      <name val="Calibri"/>
      <family val="2"/>
      <scheme val="minor"/>
    </font>
    <font>
      <b/>
      <vertAlign val="superscript"/>
      <sz val="16"/>
      <color theme="1"/>
      <name val="Calibri (Corpo)"/>
    </font>
    <font>
      <b/>
      <vertAlign val="superscript"/>
      <sz val="12"/>
      <color theme="1"/>
      <name val="Calibri (Corpo)"/>
    </font>
    <font>
      <sz val="12"/>
      <color rgb="FFFF0000"/>
      <name val="Calibri (Corpo)"/>
    </font>
    <font>
      <u/>
      <sz val="12"/>
      <color theme="10"/>
      <name val="Calibri"/>
      <family val="2"/>
      <scheme val="minor"/>
    </font>
    <font>
      <b/>
      <sz val="24"/>
      <color rgb="FFFF0000"/>
      <name val="Calibri (Corpo)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00B050"/>
      <name val="Calibri"/>
      <scheme val="minor"/>
    </font>
    <font>
      <b/>
      <sz val="18"/>
      <color rgb="FF002060"/>
      <name val="Calibri (Corpo)"/>
    </font>
    <font>
      <sz val="18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8"/>
      <color rgb="FF002060"/>
      <name val="Calibri"/>
      <scheme val="minor"/>
    </font>
    <font>
      <b/>
      <vertAlign val="subscript"/>
      <sz val="18"/>
      <color rgb="FF002060"/>
      <name val="Calibri (Corpo)"/>
    </font>
    <font>
      <sz val="12"/>
      <color rgb="FF00B0F0"/>
      <name val="Calibri"/>
      <family val="2"/>
      <scheme val="minor"/>
    </font>
    <font>
      <sz val="14"/>
      <color theme="1"/>
      <name val="Calibri"/>
      <scheme val="minor"/>
    </font>
    <font>
      <b/>
      <sz val="14"/>
      <color rgb="FFFF0000"/>
      <name val="Calibri"/>
      <family val="2"/>
      <scheme val="minor"/>
    </font>
    <font>
      <b/>
      <vertAlign val="subscript"/>
      <sz val="14"/>
      <color theme="1"/>
      <name val="Calibri (Corpo)"/>
    </font>
    <font>
      <b/>
      <sz val="14"/>
      <color theme="1"/>
      <name val="Calibri (Corpo)"/>
    </font>
    <font>
      <sz val="12"/>
      <color rgb="FF00B050"/>
      <name val="Calibri"/>
      <family val="2"/>
      <scheme val="minor"/>
    </font>
    <font>
      <b/>
      <sz val="18"/>
      <color rgb="FFFF0000"/>
      <name val="Calibri"/>
      <scheme val="minor"/>
    </font>
    <font>
      <sz val="16"/>
      <color theme="1"/>
      <name val="Calibri (Corpo)"/>
    </font>
    <font>
      <b/>
      <u/>
      <sz val="12"/>
      <color theme="1"/>
      <name val="Calibri"/>
      <family val="2"/>
      <scheme val="minor"/>
    </font>
    <font>
      <b/>
      <u/>
      <sz val="12"/>
      <color theme="1"/>
      <name val="Calibri (Corpo)"/>
    </font>
    <font>
      <b/>
      <u/>
      <sz val="12"/>
      <color rgb="FFFF0000"/>
      <name val="Calibri"/>
      <scheme val="minor"/>
    </font>
    <font>
      <sz val="16"/>
      <color rgb="FFFF0000"/>
      <name val="Calibri"/>
      <family val="2"/>
      <scheme val="minor"/>
    </font>
    <font>
      <b/>
      <sz val="16"/>
      <color rgb="FF00B050"/>
      <name val="Calibri (Corpo)"/>
    </font>
    <font>
      <vertAlign val="subscript"/>
      <sz val="12"/>
      <color rgb="FFFF0000"/>
      <name val="Calibri (Corpo)"/>
    </font>
    <font>
      <b/>
      <sz val="26"/>
      <color theme="1"/>
      <name val="Calibri (Corpo)"/>
    </font>
    <font>
      <sz val="12"/>
      <color rgb="FF002060"/>
      <name val="Calibri (Corpo)"/>
    </font>
    <font>
      <b/>
      <vertAlign val="subscript"/>
      <sz val="26"/>
      <color theme="1"/>
      <name val="Calibri (Corpo)"/>
    </font>
    <font>
      <vertAlign val="subscript"/>
      <sz val="12"/>
      <color rgb="FF002060"/>
      <name val="Calibri (Corpo)"/>
    </font>
    <font>
      <sz val="12"/>
      <color theme="1"/>
      <name val="Rockwell"/>
    </font>
    <font>
      <sz val="12"/>
      <color theme="0"/>
      <name val="Calibri"/>
      <family val="2"/>
      <scheme val="minor"/>
    </font>
    <font>
      <b/>
      <sz val="20"/>
      <color theme="1"/>
      <name val="Calibri (Corpo)"/>
    </font>
    <font>
      <b/>
      <vertAlign val="subscript"/>
      <sz val="20"/>
      <color theme="1"/>
      <name val="Calibri (Corpo)"/>
    </font>
    <font>
      <b/>
      <sz val="20"/>
      <color theme="1"/>
      <name val="Calibri"/>
      <scheme val="minor"/>
    </font>
    <font>
      <sz val="14"/>
      <color theme="0"/>
      <name val="Calibri"/>
      <family val="2"/>
      <scheme val="minor"/>
    </font>
    <font>
      <sz val="20"/>
      <color theme="1"/>
      <name val="Calibri (Corpo)"/>
    </font>
    <font>
      <b/>
      <sz val="16"/>
      <color rgb="FF002060"/>
      <name val="Calibri"/>
      <scheme val="minor"/>
    </font>
    <font>
      <sz val="9"/>
      <color indexed="81"/>
      <name val="Tahoma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8FE705"/>
        <bgColor indexed="64"/>
      </patternFill>
    </fill>
  </fills>
  <borders count="5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rgb="FFFF0000"/>
      </right>
      <top/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324">
    <xf numFmtId="0" fontId="0" fillId="0" borderId="0" xfId="0"/>
    <xf numFmtId="0" fontId="0" fillId="0" borderId="1" xfId="0" applyFont="1" applyBorder="1" applyAlignment="1">
      <alignment horizontal="center"/>
    </xf>
    <xf numFmtId="0" fontId="0" fillId="0" borderId="0" xfId="0" applyBorder="1"/>
    <xf numFmtId="0" fontId="0" fillId="0" borderId="7" xfId="0" applyBorder="1"/>
    <xf numFmtId="0" fontId="9" fillId="0" borderId="1" xfId="0" applyFont="1" applyBorder="1"/>
    <xf numFmtId="0" fontId="9" fillId="0" borderId="8" xfId="0" applyFont="1" applyBorder="1"/>
    <xf numFmtId="0" fontId="3" fillId="0" borderId="4" xfId="0" applyFon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10" fillId="0" borderId="4" xfId="0" applyFont="1" applyBorder="1"/>
    <xf numFmtId="0" fontId="0" fillId="0" borderId="8" xfId="0" applyBorder="1"/>
    <xf numFmtId="0" fontId="9" fillId="0" borderId="4" xfId="0" applyFont="1" applyBorder="1"/>
    <xf numFmtId="0" fontId="0" fillId="0" borderId="1" xfId="0" applyBorder="1"/>
    <xf numFmtId="164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4" fillId="0" borderId="4" xfId="0" applyFont="1" applyBorder="1"/>
    <xf numFmtId="0" fontId="0" fillId="0" borderId="7" xfId="0" applyBorder="1" applyAlignment="1"/>
    <xf numFmtId="164" fontId="0" fillId="0" borderId="9" xfId="0" applyNumberFormat="1" applyBorder="1" applyAlignment="1">
      <alignment horizontal="center"/>
    </xf>
    <xf numFmtId="0" fontId="4" fillId="0" borderId="11" xfId="0" applyFont="1" applyBorder="1"/>
    <xf numFmtId="0" fontId="4" fillId="0" borderId="11" xfId="0" applyFont="1" applyBorder="1" applyAlignment="1">
      <alignment horizontal="center"/>
    </xf>
    <xf numFmtId="165" fontId="4" fillId="0" borderId="11" xfId="0" applyNumberFormat="1" applyFont="1" applyBorder="1"/>
    <xf numFmtId="0" fontId="4" fillId="0" borderId="11" xfId="0" applyFont="1" applyFill="1" applyBorder="1"/>
    <xf numFmtId="164" fontId="4" fillId="0" borderId="11" xfId="0" applyNumberFormat="1" applyFont="1" applyBorder="1"/>
    <xf numFmtId="0" fontId="0" fillId="0" borderId="4" xfId="0" applyBorder="1"/>
    <xf numFmtId="0" fontId="0" fillId="0" borderId="0" xfId="0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20" fillId="0" borderId="8" xfId="0" applyFont="1" applyBorder="1"/>
    <xf numFmtId="0" fontId="20" fillId="0" borderId="7" xfId="0" applyFont="1" applyBorder="1"/>
    <xf numFmtId="1" fontId="21" fillId="0" borderId="1" xfId="0" applyNumberFormat="1" applyFont="1" applyBorder="1" applyAlignment="1">
      <alignment horizontal="center"/>
    </xf>
    <xf numFmtId="0" fontId="28" fillId="0" borderId="0" xfId="0" applyFont="1"/>
    <xf numFmtId="0" fontId="19" fillId="0" borderId="4" xfId="0" applyFont="1" applyBorder="1"/>
    <xf numFmtId="0" fontId="19" fillId="0" borderId="8" xfId="0" applyFont="1" applyBorder="1"/>
    <xf numFmtId="0" fontId="29" fillId="0" borderId="0" xfId="0" applyFont="1" applyFill="1" applyBorder="1"/>
    <xf numFmtId="0" fontId="0" fillId="0" borderId="11" xfId="0" applyBorder="1" applyAlignment="1">
      <alignment horizontal="center"/>
    </xf>
    <xf numFmtId="9" fontId="0" fillId="0" borderId="11" xfId="0" applyNumberFormat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3" fillId="2" borderId="11" xfId="0" applyFont="1" applyFill="1" applyBorder="1"/>
    <xf numFmtId="0" fontId="19" fillId="0" borderId="1" xfId="0" applyFont="1" applyBorder="1"/>
    <xf numFmtId="9" fontId="19" fillId="0" borderId="1" xfId="0" applyNumberFormat="1" applyFont="1" applyBorder="1" applyAlignment="1">
      <alignment horizontal="center"/>
    </xf>
    <xf numFmtId="0" fontId="0" fillId="0" borderId="11" xfId="0" applyFont="1" applyBorder="1"/>
    <xf numFmtId="164" fontId="29" fillId="0" borderId="11" xfId="0" applyNumberFormat="1" applyFont="1" applyBorder="1" applyAlignment="1">
      <alignment horizontal="center"/>
    </xf>
    <xf numFmtId="0" fontId="0" fillId="0" borderId="12" xfId="0" applyBorder="1"/>
    <xf numFmtId="0" fontId="0" fillId="0" borderId="15" xfId="0" applyBorder="1"/>
    <xf numFmtId="9" fontId="0" fillId="0" borderId="11" xfId="0" applyNumberFormat="1" applyBorder="1"/>
    <xf numFmtId="9" fontId="0" fillId="0" borderId="0" xfId="0" applyNumberFormat="1"/>
    <xf numFmtId="0" fontId="19" fillId="0" borderId="0" xfId="0" applyFont="1" applyBorder="1"/>
    <xf numFmtId="9" fontId="19" fillId="0" borderId="0" xfId="0" applyNumberFormat="1" applyFont="1" applyBorder="1" applyAlignment="1">
      <alignment horizontal="center"/>
    </xf>
    <xf numFmtId="0" fontId="0" fillId="0" borderId="16" xfId="0" applyBorder="1"/>
    <xf numFmtId="164" fontId="19" fillId="0" borderId="7" xfId="0" applyNumberFormat="1" applyFont="1" applyBorder="1" applyAlignment="1">
      <alignment horizontal="center"/>
    </xf>
    <xf numFmtId="9" fontId="19" fillId="0" borderId="8" xfId="0" applyNumberFormat="1" applyFont="1" applyBorder="1" applyAlignment="1">
      <alignment horizontal="center"/>
    </xf>
    <xf numFmtId="9" fontId="0" fillId="0" borderId="12" xfId="0" applyNumberFormat="1" applyBorder="1"/>
    <xf numFmtId="9" fontId="0" fillId="0" borderId="0" xfId="0" applyNumberFormat="1" applyBorder="1"/>
    <xf numFmtId="9" fontId="33" fillId="0" borderId="11" xfId="0" applyNumberFormat="1" applyFont="1" applyBorder="1"/>
    <xf numFmtId="0" fontId="0" fillId="0" borderId="17" xfId="0" applyBorder="1"/>
    <xf numFmtId="0" fontId="0" fillId="0" borderId="18" xfId="0" applyBorder="1"/>
    <xf numFmtId="9" fontId="0" fillId="0" borderId="19" xfId="0" applyNumberFormat="1" applyBorder="1"/>
    <xf numFmtId="9" fontId="0" fillId="0" borderId="20" xfId="0" applyNumberFormat="1" applyBorder="1"/>
    <xf numFmtId="9" fontId="0" fillId="0" borderId="21" xfId="0" applyNumberFormat="1" applyBorder="1"/>
    <xf numFmtId="9" fontId="0" fillId="0" borderId="22" xfId="0" applyNumberFormat="1" applyBorder="1"/>
    <xf numFmtId="3" fontId="4" fillId="0" borderId="11" xfId="0" applyNumberFormat="1" applyFont="1" applyBorder="1"/>
    <xf numFmtId="2" fontId="0" fillId="0" borderId="1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0" fontId="21" fillId="0" borderId="4" xfId="0" applyFont="1" applyBorder="1"/>
    <xf numFmtId="0" fontId="21" fillId="0" borderId="8" xfId="0" applyFont="1" applyBorder="1"/>
    <xf numFmtId="0" fontId="29" fillId="0" borderId="0" xfId="0" applyFont="1"/>
    <xf numFmtId="0" fontId="4" fillId="0" borderId="0" xfId="0" applyFont="1" applyBorder="1"/>
    <xf numFmtId="3" fontId="9" fillId="0" borderId="1" xfId="0" applyNumberFormat="1" applyFon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0" fillId="0" borderId="0" xfId="0" applyFill="1" applyBorder="1"/>
    <xf numFmtId="0" fontId="29" fillId="0" borderId="0" xfId="0" applyFont="1" applyFill="1"/>
    <xf numFmtId="3" fontId="0" fillId="0" borderId="11" xfId="0" applyNumberFormat="1" applyBorder="1" applyAlignment="1">
      <alignment horizontal="center"/>
    </xf>
    <xf numFmtId="167" fontId="4" fillId="0" borderId="1" xfId="0" applyNumberFormat="1" applyFont="1" applyBorder="1" applyAlignment="1">
      <alignment horizontal="center"/>
    </xf>
    <xf numFmtId="0" fontId="35" fillId="0" borderId="1" xfId="0" applyFont="1" applyBorder="1" applyAlignment="1">
      <alignment horizontal="center"/>
    </xf>
    <xf numFmtId="2" fontId="20" fillId="0" borderId="1" xfId="0" applyNumberFormat="1" applyFont="1" applyBorder="1" applyAlignment="1">
      <alignment horizontal="center"/>
    </xf>
    <xf numFmtId="0" fontId="0" fillId="0" borderId="13" xfId="0" applyBorder="1"/>
    <xf numFmtId="0" fontId="0" fillId="0" borderId="23" xfId="0" applyBorder="1"/>
    <xf numFmtId="0" fontId="0" fillId="0" borderId="25" xfId="0" applyBorder="1"/>
    <xf numFmtId="0" fontId="0" fillId="0" borderId="26" xfId="0" applyBorder="1"/>
    <xf numFmtId="0" fontId="0" fillId="0" borderId="27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8" fontId="3" fillId="0" borderId="12" xfId="0" applyNumberFormat="1" applyFont="1" applyFill="1" applyBorder="1" applyAlignment="1">
      <alignment horizontal="center"/>
    </xf>
    <xf numFmtId="0" fontId="4" fillId="0" borderId="23" xfId="0" applyFont="1" applyBorder="1"/>
    <xf numFmtId="168" fontId="0" fillId="0" borderId="11" xfId="0" applyNumberFormat="1" applyBorder="1" applyAlignment="1">
      <alignment horizontal="center"/>
    </xf>
    <xf numFmtId="0" fontId="3" fillId="0" borderId="27" xfId="0" applyFont="1" applyBorder="1" applyAlignment="1">
      <alignment horizontal="center"/>
    </xf>
    <xf numFmtId="168" fontId="0" fillId="0" borderId="27" xfId="0" applyNumberFormat="1" applyBorder="1" applyAlignment="1">
      <alignment horizontal="center"/>
    </xf>
    <xf numFmtId="0" fontId="9" fillId="0" borderId="29" xfId="0" applyFont="1" applyBorder="1"/>
    <xf numFmtId="0" fontId="20" fillId="0" borderId="30" xfId="0" applyFont="1" applyBorder="1"/>
    <xf numFmtId="0" fontId="39" fillId="0" borderId="30" xfId="0" applyFont="1" applyBorder="1" applyAlignment="1">
      <alignment horizontal="center"/>
    </xf>
    <xf numFmtId="168" fontId="39" fillId="0" borderId="31" xfId="0" applyNumberFormat="1" applyFont="1" applyFill="1" applyBorder="1" applyAlignment="1">
      <alignment horizontal="center"/>
    </xf>
    <xf numFmtId="168" fontId="20" fillId="0" borderId="31" xfId="0" applyNumberFormat="1" applyFont="1" applyBorder="1" applyAlignment="1">
      <alignment horizontal="center"/>
    </xf>
    <xf numFmtId="167" fontId="9" fillId="4" borderId="1" xfId="0" applyNumberFormat="1" applyFont="1" applyFill="1" applyBorder="1" applyAlignment="1">
      <alignment horizontal="center"/>
    </xf>
    <xf numFmtId="0" fontId="37" fillId="0" borderId="24" xfId="0" applyFont="1" applyBorder="1" applyAlignment="1">
      <alignment horizontal="center"/>
    </xf>
    <xf numFmtId="0" fontId="0" fillId="0" borderId="32" xfId="0" applyBorder="1"/>
    <xf numFmtId="0" fontId="36" fillId="0" borderId="33" xfId="0" applyFont="1" applyBorder="1" applyAlignment="1">
      <alignment horizontal="center"/>
    </xf>
    <xf numFmtId="0" fontId="38" fillId="0" borderId="33" xfId="0" applyFont="1" applyBorder="1" applyAlignment="1">
      <alignment horizontal="center"/>
    </xf>
    <xf numFmtId="0" fontId="38" fillId="0" borderId="34" xfId="0" applyFont="1" applyFill="1" applyBorder="1"/>
    <xf numFmtId="0" fontId="36" fillId="0" borderId="33" xfId="0" applyFont="1" applyFill="1" applyBorder="1" applyAlignment="1">
      <alignment horizontal="center"/>
    </xf>
    <xf numFmtId="0" fontId="36" fillId="0" borderId="18" xfId="0" applyFont="1" applyBorder="1" applyAlignment="1">
      <alignment horizontal="center"/>
    </xf>
    <xf numFmtId="0" fontId="0" fillId="0" borderId="20" xfId="0" applyBorder="1" applyAlignment="1">
      <alignment horizontal="center"/>
    </xf>
    <xf numFmtId="168" fontId="4" fillId="0" borderId="20" xfId="0" applyNumberFormat="1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11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3" fontId="0" fillId="0" borderId="20" xfId="0" applyNumberFormat="1" applyBorder="1" applyAlignment="1">
      <alignment horizontal="center"/>
    </xf>
    <xf numFmtId="0" fontId="4" fillId="0" borderId="33" xfId="0" applyFont="1" applyBorder="1"/>
    <xf numFmtId="0" fontId="4" fillId="0" borderId="33" xfId="0" applyFont="1" applyBorder="1" applyAlignment="1">
      <alignment horizontal="center"/>
    </xf>
    <xf numFmtId="167" fontId="4" fillId="0" borderId="20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167" fontId="4" fillId="0" borderId="35" xfId="0" applyNumberFormat="1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167" fontId="9" fillId="4" borderId="1" xfId="0" applyNumberFormat="1" applyFont="1" applyFill="1" applyBorder="1"/>
    <xf numFmtId="0" fontId="0" fillId="0" borderId="30" xfId="0" applyBorder="1"/>
    <xf numFmtId="0" fontId="0" fillId="0" borderId="37" xfId="0" applyBorder="1"/>
    <xf numFmtId="0" fontId="0" fillId="0" borderId="31" xfId="0" applyBorder="1"/>
    <xf numFmtId="167" fontId="0" fillId="0" borderId="1" xfId="0" applyNumberFormat="1" applyBorder="1" applyAlignment="1">
      <alignment horizontal="center"/>
    </xf>
    <xf numFmtId="166" fontId="0" fillId="0" borderId="11" xfId="0" applyNumberFormat="1" applyBorder="1" applyAlignment="1">
      <alignment horizontal="center"/>
    </xf>
    <xf numFmtId="167" fontId="19" fillId="4" borderId="1" xfId="0" applyNumberFormat="1" applyFont="1" applyFill="1" applyBorder="1" applyAlignment="1">
      <alignment horizontal="center"/>
    </xf>
    <xf numFmtId="167" fontId="9" fillId="0" borderId="1" xfId="0" applyNumberFormat="1" applyFont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ont="1"/>
    <xf numFmtId="0" fontId="43" fillId="0" borderId="11" xfId="0" applyFont="1" applyFill="1" applyBorder="1"/>
    <xf numFmtId="0" fontId="25" fillId="0" borderId="11" xfId="0" applyFont="1" applyFill="1" applyBorder="1"/>
    <xf numFmtId="167" fontId="0" fillId="0" borderId="11" xfId="0" applyNumberFormat="1" applyBorder="1" applyAlignment="1">
      <alignment horizontal="center"/>
    </xf>
    <xf numFmtId="0" fontId="0" fillId="0" borderId="11" xfId="0" applyBorder="1" applyAlignment="1">
      <alignment horizontal="left"/>
    </xf>
    <xf numFmtId="0" fontId="4" fillId="0" borderId="8" xfId="0" applyFont="1" applyBorder="1"/>
    <xf numFmtId="0" fontId="9" fillId="0" borderId="7" xfId="0" applyFont="1" applyBorder="1"/>
    <xf numFmtId="169" fontId="0" fillId="0" borderId="11" xfId="0" applyNumberFormat="1" applyBorder="1" applyAlignment="1">
      <alignment horizontal="center"/>
    </xf>
    <xf numFmtId="169" fontId="0" fillId="0" borderId="11" xfId="0" applyNumberFormat="1" applyBorder="1"/>
    <xf numFmtId="0" fontId="28" fillId="0" borderId="0" xfId="0" applyFont="1" applyFill="1" applyBorder="1"/>
    <xf numFmtId="0" fontId="22" fillId="0" borderId="1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7" xfId="0" applyFont="1" applyBorder="1"/>
    <xf numFmtId="0" fontId="4" fillId="0" borderId="7" xfId="0" applyFont="1" applyBorder="1" applyAlignment="1">
      <alignment horizontal="center"/>
    </xf>
    <xf numFmtId="167" fontId="0" fillId="0" borderId="11" xfId="0" applyNumberFormat="1" applyBorder="1"/>
    <xf numFmtId="0" fontId="0" fillId="0" borderId="0" xfId="0" applyBorder="1" applyAlignment="1"/>
    <xf numFmtId="167" fontId="0" fillId="0" borderId="11" xfId="0" applyNumberFormat="1" applyBorder="1" applyAlignment="1"/>
    <xf numFmtId="0" fontId="0" fillId="0" borderId="0" xfId="0"/>
    <xf numFmtId="0" fontId="0" fillId="6" borderId="4" xfId="0" applyFill="1" applyBorder="1"/>
    <xf numFmtId="0" fontId="4" fillId="6" borderId="7" xfId="0" applyFont="1" applyFill="1" applyBorder="1" applyAlignment="1">
      <alignment horizontal="left"/>
    </xf>
    <xf numFmtId="0" fontId="0" fillId="6" borderId="1" xfId="0" applyFill="1" applyBorder="1"/>
    <xf numFmtId="0" fontId="0" fillId="6" borderId="10" xfId="0" applyFill="1" applyBorder="1"/>
    <xf numFmtId="0" fontId="3" fillId="0" borderId="38" xfId="0" applyFont="1" applyFill="1" applyBorder="1" applyAlignment="1">
      <alignment horizontal="center" vertical="center"/>
    </xf>
    <xf numFmtId="0" fontId="4" fillId="6" borderId="43" xfId="0" applyFont="1" applyFill="1" applyBorder="1" applyAlignment="1">
      <alignment horizontal="left"/>
    </xf>
    <xf numFmtId="0" fontId="3" fillId="0" borderId="38" xfId="0" applyFont="1" applyBorder="1" applyAlignment="1">
      <alignment horizontal="center"/>
    </xf>
    <xf numFmtId="164" fontId="0" fillId="0" borderId="5" xfId="0" applyNumberFormat="1" applyFont="1" applyBorder="1" applyAlignment="1">
      <alignment horizontal="center"/>
    </xf>
    <xf numFmtId="164" fontId="0" fillId="0" borderId="6" xfId="0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0" fontId="13" fillId="0" borderId="2" xfId="0" applyFont="1" applyFill="1" applyBorder="1"/>
    <xf numFmtId="1" fontId="4" fillId="0" borderId="1" xfId="0" applyNumberFormat="1" applyFont="1" applyBorder="1" applyAlignment="1">
      <alignment horizontal="center"/>
    </xf>
    <xf numFmtId="0" fontId="0" fillId="0" borderId="39" xfId="0" applyBorder="1"/>
    <xf numFmtId="0" fontId="0" fillId="0" borderId="0" xfId="0"/>
    <xf numFmtId="0" fontId="0" fillId="0" borderId="39" xfId="0" applyBorder="1"/>
    <xf numFmtId="0" fontId="0" fillId="0" borderId="0" xfId="0"/>
    <xf numFmtId="0" fontId="4" fillId="6" borderId="43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0" fillId="0" borderId="28" xfId="0" applyBorder="1"/>
    <xf numFmtId="0" fontId="0" fillId="0" borderId="47" xfId="0" applyBorder="1"/>
    <xf numFmtId="0" fontId="24" fillId="3" borderId="0" xfId="0" applyFont="1" applyFill="1" applyBorder="1"/>
    <xf numFmtId="164" fontId="0" fillId="0" borderId="0" xfId="0" applyNumberFormat="1" applyBorder="1"/>
    <xf numFmtId="0" fontId="13" fillId="0" borderId="0" xfId="0" applyFont="1" applyBorder="1"/>
    <xf numFmtId="0" fontId="3" fillId="0" borderId="0" xfId="0" applyFont="1" applyFill="1" applyBorder="1" applyAlignment="1">
      <alignment horizontal="center" vertical="center"/>
    </xf>
    <xf numFmtId="0" fontId="0" fillId="0" borderId="48" xfId="0" applyBorder="1"/>
    <xf numFmtId="0" fontId="0" fillId="0" borderId="49" xfId="0" applyBorder="1"/>
    <xf numFmtId="0" fontId="46" fillId="0" borderId="26" xfId="0" applyFont="1" applyBorder="1" applyAlignment="1">
      <alignment horizontal="center"/>
    </xf>
    <xf numFmtId="0" fontId="0" fillId="0" borderId="11" xfId="0" applyBorder="1"/>
    <xf numFmtId="0" fontId="0" fillId="0" borderId="11" xfId="0" applyFill="1" applyBorder="1"/>
    <xf numFmtId="0" fontId="0" fillId="0" borderId="39" xfId="0" applyBorder="1"/>
    <xf numFmtId="0" fontId="0" fillId="0" borderId="0" xfId="0"/>
    <xf numFmtId="0" fontId="9" fillId="0" borderId="8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26" fillId="3" borderId="0" xfId="0" applyFont="1" applyFill="1" applyBorder="1"/>
    <xf numFmtId="0" fontId="10" fillId="0" borderId="8" xfId="0" applyFont="1" applyBorder="1"/>
    <xf numFmtId="0" fontId="0" fillId="0" borderId="10" xfId="0" applyBorder="1" applyAlignment="1">
      <alignment horizontal="center"/>
    </xf>
    <xf numFmtId="9" fontId="0" fillId="0" borderId="40" xfId="0" applyNumberFormat="1" applyBorder="1" applyAlignment="1">
      <alignment horizontal="center"/>
    </xf>
    <xf numFmtId="9" fontId="0" fillId="0" borderId="41" xfId="0" applyNumberFormat="1" applyBorder="1" applyAlignment="1">
      <alignment horizontal="center"/>
    </xf>
    <xf numFmtId="9" fontId="0" fillId="0" borderId="42" xfId="0" applyNumberFormat="1" applyBorder="1" applyAlignment="1">
      <alignment horizontal="center"/>
    </xf>
    <xf numFmtId="0" fontId="4" fillId="0" borderId="1" xfId="0" applyFont="1" applyBorder="1"/>
    <xf numFmtId="9" fontId="0" fillId="0" borderId="2" xfId="0" applyNumberFormat="1" applyBorder="1" applyAlignment="1">
      <alignment horizontal="center"/>
    </xf>
    <xf numFmtId="9" fontId="0" fillId="0" borderId="3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9" fontId="0" fillId="0" borderId="5" xfId="0" applyNumberFormat="1" applyBorder="1" applyAlignment="1">
      <alignment horizontal="center"/>
    </xf>
    <xf numFmtId="9" fontId="0" fillId="0" borderId="6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164" fontId="3" fillId="6" borderId="40" xfId="0" applyNumberFormat="1" applyFont="1" applyFill="1" applyBorder="1" applyAlignment="1" applyProtection="1">
      <alignment horizontal="center"/>
      <protection locked="0"/>
    </xf>
    <xf numFmtId="164" fontId="3" fillId="6" borderId="41" xfId="0" applyNumberFormat="1" applyFont="1" applyFill="1" applyBorder="1" applyAlignment="1" applyProtection="1">
      <alignment horizontal="center"/>
      <protection locked="0"/>
    </xf>
    <xf numFmtId="164" fontId="3" fillId="6" borderId="42" xfId="0" applyNumberFormat="1" applyFont="1" applyFill="1" applyBorder="1" applyAlignment="1" applyProtection="1">
      <alignment horizontal="center"/>
      <protection locked="0"/>
    </xf>
    <xf numFmtId="164" fontId="0" fillId="0" borderId="0" xfId="0" applyNumberFormat="1" applyBorder="1" applyAlignment="1">
      <alignment horizontal="center"/>
    </xf>
    <xf numFmtId="164" fontId="19" fillId="0" borderId="1" xfId="0" applyNumberFormat="1" applyFont="1" applyBorder="1" applyAlignment="1">
      <alignment horizontal="center"/>
    </xf>
    <xf numFmtId="0" fontId="47" fillId="0" borderId="0" xfId="0" applyFont="1" applyBorder="1" applyProtection="1">
      <protection locked="0"/>
    </xf>
    <xf numFmtId="0" fontId="3" fillId="6" borderId="37" xfId="0" applyFont="1" applyFill="1" applyBorder="1" applyAlignment="1" applyProtection="1">
      <alignment horizontal="center"/>
      <protection locked="0"/>
    </xf>
    <xf numFmtId="164" fontId="3" fillId="0" borderId="37" xfId="0" applyNumberFormat="1" applyFont="1" applyBorder="1" applyAlignment="1" applyProtection="1">
      <alignment horizontal="center"/>
      <protection locked="0"/>
    </xf>
    <xf numFmtId="0" fontId="47" fillId="0" borderId="0" xfId="0" applyFont="1" applyBorder="1"/>
    <xf numFmtId="0" fontId="3" fillId="6" borderId="11" xfId="0" applyFont="1" applyFill="1" applyBorder="1" applyAlignment="1" applyProtection="1">
      <alignment horizontal="center"/>
      <protection locked="0"/>
    </xf>
    <xf numFmtId="0" fontId="17" fillId="0" borderId="0" xfId="1" applyBorder="1"/>
    <xf numFmtId="10" fontId="0" fillId="0" borderId="0" xfId="0" applyNumberFormat="1" applyBorder="1"/>
    <xf numFmtId="0" fontId="28" fillId="0" borderId="0" xfId="0" applyFont="1" applyBorder="1"/>
    <xf numFmtId="0" fontId="28" fillId="0" borderId="49" xfId="0" applyFont="1" applyBorder="1"/>
    <xf numFmtId="164" fontId="47" fillId="0" borderId="0" xfId="0" applyNumberFormat="1" applyFont="1" applyBorder="1"/>
    <xf numFmtId="2" fontId="50" fillId="0" borderId="1" xfId="0" applyNumberFormat="1" applyFont="1" applyBorder="1" applyAlignment="1">
      <alignment horizontal="center"/>
    </xf>
    <xf numFmtId="0" fontId="0" fillId="0" borderId="0" xfId="0" applyBorder="1" applyAlignment="1">
      <alignment horizontal="left"/>
    </xf>
    <xf numFmtId="0" fontId="4" fillId="0" borderId="0" xfId="0" applyFont="1" applyBorder="1" applyAlignment="1">
      <alignment horizontal="center"/>
    </xf>
    <xf numFmtId="0" fontId="28" fillId="0" borderId="47" xfId="0" applyFont="1" applyBorder="1"/>
    <xf numFmtId="9" fontId="30" fillId="6" borderId="1" xfId="0" applyNumberFormat="1" applyFont="1" applyFill="1" applyBorder="1" applyAlignment="1" applyProtection="1">
      <alignment horizontal="center"/>
      <protection locked="0"/>
    </xf>
    <xf numFmtId="9" fontId="47" fillId="0" borderId="0" xfId="0" applyNumberFormat="1" applyFont="1" applyBorder="1"/>
    <xf numFmtId="9" fontId="3" fillId="6" borderId="11" xfId="0" applyNumberFormat="1" applyFont="1" applyFill="1" applyBorder="1" applyAlignment="1" applyProtection="1">
      <alignment horizontal="center"/>
      <protection locked="0"/>
    </xf>
    <xf numFmtId="0" fontId="24" fillId="0" borderId="0" xfId="0" applyFont="1" applyFill="1" applyBorder="1"/>
    <xf numFmtId="0" fontId="0" fillId="3" borderId="0" xfId="0" applyFill="1" applyBorder="1"/>
    <xf numFmtId="1" fontId="19" fillId="0" borderId="0" xfId="0" applyNumberFormat="1" applyFont="1" applyBorder="1"/>
    <xf numFmtId="0" fontId="9" fillId="0" borderId="0" xfId="0" applyFont="1" applyBorder="1"/>
    <xf numFmtId="0" fontId="0" fillId="0" borderId="49" xfId="0" applyBorder="1" applyAlignment="1">
      <alignment horizontal="center"/>
    </xf>
    <xf numFmtId="0" fontId="47" fillId="0" borderId="0" xfId="0" applyFont="1" applyFill="1" applyBorder="1"/>
    <xf numFmtId="0" fontId="51" fillId="0" borderId="0" xfId="0" applyFont="1" applyFill="1" applyBorder="1"/>
    <xf numFmtId="0" fontId="0" fillId="0" borderId="26" xfId="0" applyBorder="1" applyAlignment="1">
      <alignment horizontal="center"/>
    </xf>
    <xf numFmtId="0" fontId="47" fillId="0" borderId="47" xfId="0" applyFont="1" applyBorder="1"/>
    <xf numFmtId="0" fontId="29" fillId="0" borderId="0" xfId="0" applyFont="1" applyBorder="1"/>
    <xf numFmtId="0" fontId="20" fillId="0" borderId="31" xfId="0" applyFont="1" applyFill="1" applyBorder="1"/>
    <xf numFmtId="0" fontId="0" fillId="0" borderId="39" xfId="0" applyFill="1" applyBorder="1"/>
    <xf numFmtId="0" fontId="37" fillId="0" borderId="34" xfId="0" applyFont="1" applyBorder="1" applyAlignment="1">
      <alignment horizontal="center"/>
    </xf>
    <xf numFmtId="0" fontId="4" fillId="0" borderId="12" xfId="0" applyFont="1" applyBorder="1"/>
    <xf numFmtId="0" fontId="4" fillId="0" borderId="28" xfId="0" applyFont="1" applyBorder="1"/>
    <xf numFmtId="0" fontId="20" fillId="0" borderId="31" xfId="0" applyFont="1" applyBorder="1"/>
    <xf numFmtId="0" fontId="4" fillId="0" borderId="33" xfId="0" applyFont="1" applyBorder="1" applyAlignment="1">
      <alignment horizontal="left"/>
    </xf>
    <xf numFmtId="0" fontId="9" fillId="0" borderId="31" xfId="0" applyFont="1" applyBorder="1"/>
    <xf numFmtId="2" fontId="0" fillId="0" borderId="0" xfId="0" applyNumberFormat="1" applyBorder="1"/>
    <xf numFmtId="168" fontId="3" fillId="6" borderId="12" xfId="0" applyNumberFormat="1" applyFont="1" applyFill="1" applyBorder="1" applyAlignment="1" applyProtection="1">
      <alignment horizontal="center"/>
      <protection locked="0"/>
    </xf>
    <xf numFmtId="0" fontId="3" fillId="6" borderId="27" xfId="0" applyFont="1" applyFill="1" applyBorder="1" applyAlignment="1" applyProtection="1">
      <alignment horizontal="center"/>
      <protection locked="0"/>
    </xf>
    <xf numFmtId="0" fontId="3" fillId="6" borderId="14" xfId="0" applyFont="1" applyFill="1" applyBorder="1" applyAlignment="1" applyProtection="1">
      <alignment horizontal="center"/>
      <protection locked="0"/>
    </xf>
    <xf numFmtId="9" fontId="3" fillId="6" borderId="12" xfId="0" applyNumberFormat="1" applyFont="1" applyFill="1" applyBorder="1" applyAlignment="1" applyProtection="1">
      <alignment horizontal="center"/>
      <protection locked="0"/>
    </xf>
    <xf numFmtId="3" fontId="0" fillId="6" borderId="11" xfId="0" applyNumberFormat="1" applyFont="1" applyFill="1" applyBorder="1" applyAlignment="1" applyProtection="1">
      <alignment horizontal="center"/>
    </xf>
    <xf numFmtId="9" fontId="3" fillId="6" borderId="28" xfId="0" applyNumberFormat="1" applyFont="1" applyFill="1" applyBorder="1" applyAlignment="1" applyProtection="1">
      <alignment horizontal="center"/>
      <protection locked="0"/>
    </xf>
    <xf numFmtId="0" fontId="3" fillId="6" borderId="11" xfId="0" applyNumberFormat="1" applyFont="1" applyFill="1" applyBorder="1" applyAlignment="1" applyProtection="1">
      <alignment horizontal="center"/>
      <protection locked="0"/>
    </xf>
    <xf numFmtId="0" fontId="3" fillId="6" borderId="20" xfId="0" applyFont="1" applyFill="1" applyBorder="1" applyAlignment="1" applyProtection="1">
      <alignment horizontal="center"/>
      <protection locked="0"/>
    </xf>
    <xf numFmtId="0" fontId="3" fillId="6" borderId="36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167" fontId="0" fillId="0" borderId="0" xfId="0" applyNumberFormat="1" applyBorder="1"/>
    <xf numFmtId="167" fontId="3" fillId="6" borderId="11" xfId="0" applyNumberFormat="1" applyFont="1" applyFill="1" applyBorder="1" applyAlignment="1" applyProtection="1">
      <alignment horizontal="center"/>
      <protection locked="0"/>
    </xf>
    <xf numFmtId="1" fontId="3" fillId="6" borderId="11" xfId="0" applyNumberFormat="1" applyFont="1" applyFill="1" applyBorder="1" applyAlignment="1" applyProtection="1">
      <alignment horizontal="center"/>
      <protection locked="0"/>
    </xf>
    <xf numFmtId="164" fontId="0" fillId="0" borderId="9" xfId="0" applyNumberFormat="1" applyFont="1" applyBorder="1" applyAlignment="1">
      <alignment horizontal="center"/>
    </xf>
    <xf numFmtId="0" fontId="0" fillId="0" borderId="0" xfId="0" applyBorder="1"/>
    <xf numFmtId="0" fontId="23" fillId="3" borderId="0" xfId="0" applyFont="1" applyFill="1" applyBorder="1"/>
    <xf numFmtId="2" fontId="9" fillId="0" borderId="1" xfId="0" applyNumberFormat="1" applyFont="1" applyBorder="1" applyAlignment="1">
      <alignment horizontal="center"/>
    </xf>
    <xf numFmtId="0" fontId="52" fillId="0" borderId="0" xfId="0" applyFont="1" applyBorder="1"/>
    <xf numFmtId="3" fontId="0" fillId="0" borderId="8" xfId="0" applyNumberFormat="1" applyBorder="1" applyAlignment="1">
      <alignment horizontal="center"/>
    </xf>
    <xf numFmtId="3" fontId="3" fillId="6" borderId="11" xfId="0" applyNumberFormat="1" applyFont="1" applyFill="1" applyBorder="1" applyAlignment="1" applyProtection="1">
      <alignment horizontal="center"/>
      <protection locked="0"/>
    </xf>
    <xf numFmtId="3" fontId="4" fillId="0" borderId="4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7" fontId="50" fillId="0" borderId="7" xfId="0" applyNumberFormat="1" applyFont="1" applyBorder="1" applyAlignment="1">
      <alignment horizontal="center"/>
    </xf>
    <xf numFmtId="0" fontId="18" fillId="0" borderId="8" xfId="0" applyFont="1" applyBorder="1" applyAlignment="1"/>
    <xf numFmtId="0" fontId="0" fillId="0" borderId="4" xfId="0" applyBorder="1" applyAlignment="1">
      <alignment horizontal="center"/>
    </xf>
    <xf numFmtId="0" fontId="0" fillId="0" borderId="0" xfId="0" applyBorder="1"/>
    <xf numFmtId="0" fontId="0" fillId="0" borderId="39" xfId="0" applyBorder="1"/>
    <xf numFmtId="0" fontId="0" fillId="0" borderId="0" xfId="0" applyBorder="1"/>
    <xf numFmtId="9" fontId="0" fillId="0" borderId="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0" fillId="0" borderId="0" xfId="0" applyNumberFormat="1" applyBorder="1"/>
    <xf numFmtId="3" fontId="0" fillId="0" borderId="0" xfId="0" applyNumberFormat="1" applyBorder="1"/>
    <xf numFmtId="0" fontId="46" fillId="0" borderId="48" xfId="0" applyFont="1" applyBorder="1" applyAlignment="1">
      <alignment horizontal="center"/>
    </xf>
    <xf numFmtId="0" fontId="46" fillId="0" borderId="49" xfId="0" applyFont="1" applyBorder="1" applyAlignment="1">
      <alignment horizontal="center"/>
    </xf>
    <xf numFmtId="0" fontId="23" fillId="3" borderId="0" xfId="0" applyFont="1" applyFill="1" applyBorder="1"/>
    <xf numFmtId="0" fontId="26" fillId="3" borderId="0" xfId="0" applyFont="1" applyFill="1" applyBorder="1"/>
    <xf numFmtId="0" fontId="9" fillId="0" borderId="4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48" fillId="0" borderId="4" xfId="0" applyFont="1" applyBorder="1" applyAlignment="1">
      <alignment horizontal="center"/>
    </xf>
    <xf numFmtId="0" fontId="48" fillId="0" borderId="8" xfId="0" applyFont="1" applyBorder="1" applyAlignment="1">
      <alignment horizontal="center"/>
    </xf>
    <xf numFmtId="0" fontId="48" fillId="0" borderId="7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34" fillId="6" borderId="44" xfId="0" applyFont="1" applyFill="1" applyBorder="1" applyAlignment="1" applyProtection="1">
      <alignment horizontal="center"/>
      <protection locked="0"/>
    </xf>
    <xf numFmtId="0" fontId="34" fillId="6" borderId="45" xfId="0" applyFont="1" applyFill="1" applyBorder="1" applyAlignment="1" applyProtection="1">
      <alignment horizontal="center"/>
      <protection locked="0"/>
    </xf>
    <xf numFmtId="0" fontId="10" fillId="0" borderId="4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23" fillId="3" borderId="0" xfId="0" applyFont="1" applyFill="1" applyBorder="1" applyAlignment="1">
      <alignment horizontal="center"/>
    </xf>
    <xf numFmtId="0" fontId="0" fillId="0" borderId="11" xfId="0" applyBorder="1"/>
    <xf numFmtId="0" fontId="0" fillId="0" borderId="11" xfId="0" applyFill="1" applyBorder="1"/>
    <xf numFmtId="0" fontId="19" fillId="0" borderId="4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42" fillId="0" borderId="4" xfId="0" applyFont="1" applyBorder="1" applyAlignment="1">
      <alignment horizontal="center"/>
    </xf>
    <xf numFmtId="0" fontId="42" fillId="0" borderId="8" xfId="0" applyFont="1" applyBorder="1" applyAlignment="1">
      <alignment horizontal="center"/>
    </xf>
    <xf numFmtId="0" fontId="42" fillId="0" borderId="7" xfId="0" applyFont="1" applyBorder="1" applyAlignment="1">
      <alignment horizontal="center"/>
    </xf>
    <xf numFmtId="0" fontId="40" fillId="5" borderId="4" xfId="0" applyFont="1" applyFill="1" applyBorder="1" applyAlignment="1"/>
    <xf numFmtId="0" fontId="40" fillId="5" borderId="8" xfId="0" applyFont="1" applyFill="1" applyBorder="1" applyAlignment="1"/>
    <xf numFmtId="0" fontId="40" fillId="5" borderId="7" xfId="0" applyFont="1" applyFill="1" applyBorder="1" applyAlignment="1"/>
    <xf numFmtId="0" fontId="34" fillId="6" borderId="46" xfId="0" applyFont="1" applyFill="1" applyBorder="1" applyAlignment="1" applyProtection="1">
      <alignment horizontal="center"/>
      <protection locked="0"/>
    </xf>
    <xf numFmtId="0" fontId="53" fillId="3" borderId="39" xfId="0" applyFont="1" applyFill="1" applyBorder="1"/>
    <xf numFmtId="0" fontId="53" fillId="3" borderId="0" xfId="0" applyFont="1" applyFill="1" applyBorder="1"/>
    <xf numFmtId="0" fontId="53" fillId="3" borderId="50" xfId="0" applyFont="1" applyFill="1" applyBorder="1"/>
    <xf numFmtId="0" fontId="0" fillId="0" borderId="12" xfId="0" applyBorder="1"/>
    <xf numFmtId="0" fontId="0" fillId="0" borderId="13" xfId="0" applyBorder="1"/>
    <xf numFmtId="0" fontId="40" fillId="5" borderId="31" xfId="0" applyFont="1" applyFill="1" applyBorder="1" applyAlignment="1">
      <alignment horizontal="center"/>
    </xf>
    <xf numFmtId="0" fontId="40" fillId="5" borderId="7" xfId="0" applyFont="1" applyFill="1" applyBorder="1" applyAlignment="1">
      <alignment horizontal="center"/>
    </xf>
    <xf numFmtId="0" fontId="40" fillId="5" borderId="8" xfId="0" applyFont="1" applyFill="1" applyBorder="1" applyAlignment="1">
      <alignment horizontal="center"/>
    </xf>
    <xf numFmtId="164" fontId="9" fillId="0" borderId="4" xfId="0" applyNumberFormat="1" applyFont="1" applyBorder="1" applyAlignment="1">
      <alignment horizontal="center"/>
    </xf>
    <xf numFmtId="164" fontId="9" fillId="0" borderId="7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9" fillId="0" borderId="7" xfId="0" applyNumberFormat="1" applyFont="1" applyBorder="1" applyAlignment="1">
      <alignment horizontal="center"/>
    </xf>
    <xf numFmtId="167" fontId="9" fillId="0" borderId="4" xfId="0" applyNumberFormat="1" applyFont="1" applyBorder="1" applyAlignment="1">
      <alignment horizontal="center"/>
    </xf>
    <xf numFmtId="167" fontId="9" fillId="0" borderId="7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0" fillId="0" borderId="39" xfId="0" applyBorder="1"/>
    <xf numFmtId="0" fontId="0" fillId="0" borderId="0" xfId="0" applyBorder="1"/>
    <xf numFmtId="0" fontId="4" fillId="6" borderId="10" xfId="0" applyFont="1" applyFill="1" applyBorder="1" applyAlignment="1">
      <alignment horizontal="center"/>
    </xf>
    <xf numFmtId="0" fontId="4" fillId="6" borderId="43" xfId="0" applyFont="1" applyFill="1" applyBorder="1" applyAlignment="1">
      <alignment horizontal="center"/>
    </xf>
    <xf numFmtId="0" fontId="4" fillId="6" borderId="8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3" fillId="3" borderId="0" xfId="0" applyFont="1" applyFill="1" applyBorder="1" applyAlignment="1">
      <alignment horizontal="left"/>
    </xf>
  </cellXfs>
  <cellStyles count="2">
    <cellStyle name="Collegamento ipertestuale" xfId="1" builtinId="8"/>
    <cellStyle name="Normale" xfId="0" builtinId="0"/>
  </cellStyles>
  <dxfs count="0"/>
  <tableStyles count="0" defaultTableStyle="TableStyleMedium9" defaultPivotStyle="PivotStyleMedium7"/>
  <colors>
    <mruColors>
      <color rgb="FF8FE705"/>
      <color rgb="FFF2F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calcChain" Target="calcChain.xml"/><Relationship Id="rId12" Type="http://schemas.microsoft.com/office/2006/relationships/vbaProject" Target="vbaProject.bin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10.xml.rels><?xml version="1.0" encoding="UTF-8" standalone="yes"?>
<Relationships xmlns="http://schemas.openxmlformats.org/package/2006/relationships"><Relationship Id="rId1" Type="http://schemas.microsoft.com/office/2011/relationships/chartStyle" Target="style10.xml"/><Relationship Id="rId2" Type="http://schemas.microsoft.com/office/2011/relationships/chartColorStyle" Target="colors10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Relationship Id="rId3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Relationship Id="rId3" Type="http://schemas.openxmlformats.org/officeDocument/2006/relationships/themeOverride" Target="../theme/themeOverride2.xml"/></Relationships>
</file>

<file path=xl/charts/_rels/chart4.xml.rels><?xml version="1.0" encoding="UTF-8" standalone="yes"?>
<Relationships xmlns="http://schemas.openxmlformats.org/package/2006/relationships"><Relationship Id="rId1" Type="http://schemas.microsoft.com/office/2011/relationships/chartStyle" Target="style4.xml"/><Relationship Id="rId2" Type="http://schemas.microsoft.com/office/2011/relationships/chartColorStyle" Target="colors4.xml"/><Relationship Id="rId3" Type="http://schemas.openxmlformats.org/officeDocument/2006/relationships/themeOverride" Target="../theme/themeOverride3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4" Type="http://schemas.openxmlformats.org/officeDocument/2006/relationships/chartUserShapes" Target="../drawings/drawing5.xml"/><Relationship Id="rId1" Type="http://schemas.microsoft.com/office/2011/relationships/chartStyle" Target="style5.xml"/><Relationship Id="rId2" Type="http://schemas.microsoft.com/office/2011/relationships/chartColorStyle" Target="colors5.xml"/></Relationships>
</file>

<file path=xl/charts/_rels/chart6.xml.rels><?xml version="1.0" encoding="UTF-8" standalone="yes"?>
<Relationships xmlns="http://schemas.openxmlformats.org/package/2006/relationships"><Relationship Id="rId1" Type="http://schemas.microsoft.com/office/2011/relationships/chartStyle" Target="style6.xml"/><Relationship Id="rId2" Type="http://schemas.microsoft.com/office/2011/relationships/chartColorStyle" Target="colors6.xml"/></Relationships>
</file>

<file path=xl/charts/_rels/chart7.xml.rels><?xml version="1.0" encoding="UTF-8" standalone="yes"?>
<Relationships xmlns="http://schemas.openxmlformats.org/package/2006/relationships"><Relationship Id="rId1" Type="http://schemas.microsoft.com/office/2011/relationships/chartStyle" Target="style7.xml"/><Relationship Id="rId2" Type="http://schemas.microsoft.com/office/2011/relationships/chartColorStyle" Target="colors7.xml"/></Relationships>
</file>

<file path=xl/charts/_rels/chart8.xml.rels><?xml version="1.0" encoding="UTF-8" standalone="yes"?>
<Relationships xmlns="http://schemas.openxmlformats.org/package/2006/relationships"><Relationship Id="rId1" Type="http://schemas.microsoft.com/office/2011/relationships/chartStyle" Target="style8.xml"/><Relationship Id="rId2" Type="http://schemas.microsoft.com/office/2011/relationships/chartColorStyle" Target="colors8.xml"/></Relationships>
</file>

<file path=xl/charts/_rels/chart9.xml.rels><?xml version="1.0" encoding="UTF-8" standalone="yes"?>
<Relationships xmlns="http://schemas.openxmlformats.org/package/2006/relationships"><Relationship Id="rId1" Type="http://schemas.microsoft.com/office/2011/relationships/chartStyle" Target="style9.xml"/><Relationship Id="rId2" Type="http://schemas.microsoft.com/office/2011/relationships/chartColorStyle" Target="colors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 b="1">
                <a:solidFill>
                  <a:srgbClr val="FF0000"/>
                </a:solidFill>
              </a:rPr>
              <a:t>Curva delle Durate</a:t>
            </a:r>
          </a:p>
        </c:rich>
      </c:tx>
      <c:layout/>
      <c:overlay val="0"/>
      <c:spPr>
        <a:noFill/>
        <a:ln w="25400">
          <a:solidFill>
            <a:srgbClr val="FF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'Valutazione risorsa idrica'!$D$7</c:f>
              <c:strCache>
                <c:ptCount val="1"/>
                <c:pt idx="0">
                  <c:v>PORTATA [m3/s]</c:v>
                </c:pt>
              </c:strCache>
            </c:strRef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'Valutazione risorsa idrica'!$C$8:$C$28</c:f>
              <c:numCache>
                <c:formatCode>0%</c:formatCode>
                <c:ptCount val="21"/>
                <c:pt idx="0">
                  <c:v>0.0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1.0</c:v>
                </c:pt>
              </c:numCache>
            </c:numRef>
          </c:xVal>
          <c:yVal>
            <c:numRef>
              <c:f>'Valutazione risorsa idrica'!$D$8:$D$28</c:f>
              <c:numCache>
                <c:formatCode>0.000</c:formatCode>
                <c:ptCount val="21"/>
                <c:pt idx="0">
                  <c:v>4.6</c:v>
                </c:pt>
                <c:pt idx="1">
                  <c:v>3.35</c:v>
                </c:pt>
                <c:pt idx="2">
                  <c:v>2.75</c:v>
                </c:pt>
                <c:pt idx="3">
                  <c:v>2.4</c:v>
                </c:pt>
                <c:pt idx="4">
                  <c:v>2.25</c:v>
                </c:pt>
                <c:pt idx="5">
                  <c:v>2.125</c:v>
                </c:pt>
                <c:pt idx="6">
                  <c:v>2.0</c:v>
                </c:pt>
                <c:pt idx="7">
                  <c:v>1.9</c:v>
                </c:pt>
                <c:pt idx="8">
                  <c:v>1.78</c:v>
                </c:pt>
                <c:pt idx="9">
                  <c:v>1.68</c:v>
                </c:pt>
                <c:pt idx="10">
                  <c:v>1.58</c:v>
                </c:pt>
                <c:pt idx="11">
                  <c:v>1.48</c:v>
                </c:pt>
                <c:pt idx="12">
                  <c:v>1.37</c:v>
                </c:pt>
                <c:pt idx="13">
                  <c:v>1.26</c:v>
                </c:pt>
                <c:pt idx="14">
                  <c:v>1.15</c:v>
                </c:pt>
                <c:pt idx="15">
                  <c:v>1.03</c:v>
                </c:pt>
                <c:pt idx="16">
                  <c:v>0.9</c:v>
                </c:pt>
                <c:pt idx="17">
                  <c:v>0.71</c:v>
                </c:pt>
                <c:pt idx="18">
                  <c:v>0.5</c:v>
                </c:pt>
                <c:pt idx="19">
                  <c:v>0.4</c:v>
                </c:pt>
                <c:pt idx="20">
                  <c:v>0.15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71EA-4ABA-84CA-82B988672E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647360560"/>
        <c:axId val="-647357440"/>
      </c:scatterChart>
      <c:valAx>
        <c:axId val="-647360560"/>
        <c:scaling>
          <c:orientation val="minMax"/>
          <c:max val="1.0"/>
          <c:min val="0.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DURATA</a:t>
                </a:r>
                <a:r>
                  <a:rPr lang="it-IT" baseline="0"/>
                  <a:t> %</a:t>
                </a:r>
                <a:endParaRPr lang="it-IT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0%" sourceLinked="0"/>
        <c:majorTickMark val="cross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647357440"/>
        <c:crosses val="autoZero"/>
        <c:crossBetween val="midCat"/>
        <c:majorUnit val="0.1"/>
      </c:valAx>
      <c:valAx>
        <c:axId val="-647357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PORTATA </a:t>
                </a:r>
                <a:r>
                  <a:rPr lang="mr-IN"/>
                  <a:t>[m3/s]</a:t>
                </a:r>
                <a:r>
                  <a:rPr lang="it-IT" baseline="0"/>
                  <a:t> </a:t>
                </a:r>
                <a:endParaRPr lang="it-IT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0.0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6473605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800" b="1">
                <a:solidFill>
                  <a:srgbClr val="FF0000"/>
                </a:solidFill>
              </a:rPr>
              <a:t>FLUSSI</a:t>
            </a:r>
            <a:r>
              <a:rPr lang="it-IT" sz="1800" b="1" baseline="0">
                <a:solidFill>
                  <a:srgbClr val="FF0000"/>
                </a:solidFill>
              </a:rPr>
              <a:t> DI CASSA</a:t>
            </a:r>
            <a:endParaRPr lang="it-IT" sz="1800" b="1">
              <a:solidFill>
                <a:srgbClr val="FF0000"/>
              </a:solidFill>
            </a:endParaRPr>
          </a:p>
        </c:rich>
      </c:tx>
      <c:layout/>
      <c:overlay val="0"/>
      <c:spPr>
        <a:noFill/>
        <a:ln>
          <a:solidFill>
            <a:srgbClr val="FF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xVal>
            <c:numRef>
              <c:f>'Analisi Finanziaria'!$C$96:$C$126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xVal>
          <c:yVal>
            <c:numRef>
              <c:f>'Analisi Finanziaria'!$E$96:$E$126</c:f>
              <c:numCache>
                <c:formatCode>General</c:formatCode>
                <c:ptCount val="31"/>
                <c:pt idx="0">
                  <c:v>-2.73875495294485E6</c:v>
                </c:pt>
                <c:pt idx="1">
                  <c:v>-2.24661359160292E6</c:v>
                </c:pt>
                <c:pt idx="2">
                  <c:v>-1.77790753318203E6</c:v>
                </c:pt>
                <c:pt idx="3">
                  <c:v>-1.33152081087643E6</c:v>
                </c:pt>
                <c:pt idx="4">
                  <c:v>-906390.5991568058</c:v>
                </c:pt>
                <c:pt idx="5">
                  <c:v>-501504.6832333553</c:v>
                </c:pt>
                <c:pt idx="6">
                  <c:v>-115899.0490205454</c:v>
                </c:pt>
                <c:pt idx="7">
                  <c:v>251344.4121345117</c:v>
                </c:pt>
                <c:pt idx="8">
                  <c:v>601100.0894250422</c:v>
                </c:pt>
                <c:pt idx="9">
                  <c:v>934200.7344636428</c:v>
                </c:pt>
                <c:pt idx="10">
                  <c:v>1.25143944402421E6</c:v>
                </c:pt>
                <c:pt idx="11">
                  <c:v>1.55357154836762E6</c:v>
                </c:pt>
                <c:pt idx="12">
                  <c:v>1.84131640964705E6</c:v>
                </c:pt>
                <c:pt idx="13">
                  <c:v>2.11535913467508E6</c:v>
                </c:pt>
                <c:pt idx="14">
                  <c:v>2.37635220613034E6</c:v>
                </c:pt>
                <c:pt idx="15">
                  <c:v>2.62491703608774E6</c:v>
                </c:pt>
                <c:pt idx="16">
                  <c:v>2.86164544557097E6</c:v>
                </c:pt>
                <c:pt idx="17">
                  <c:v>3.08710107365024E6</c:v>
                </c:pt>
                <c:pt idx="18">
                  <c:v>3.30182071944002E6</c:v>
                </c:pt>
                <c:pt idx="19">
                  <c:v>3.5063156201922E6</c:v>
                </c:pt>
                <c:pt idx="20">
                  <c:v>3.7010726685276E6</c:v>
                </c:pt>
                <c:pt idx="21">
                  <c:v>3.88655557170417E6</c:v>
                </c:pt>
                <c:pt idx="22">
                  <c:v>4.06320595568186E6</c:v>
                </c:pt>
                <c:pt idx="23">
                  <c:v>4.23144441661299E6</c:v>
                </c:pt>
                <c:pt idx="24">
                  <c:v>4.39167152226169E6</c:v>
                </c:pt>
                <c:pt idx="25">
                  <c:v>4.54426876573664E6</c:v>
                </c:pt>
                <c:pt idx="26">
                  <c:v>4.68959947380803E6</c:v>
                </c:pt>
                <c:pt idx="27">
                  <c:v>4.82800967197125E6</c:v>
                </c:pt>
                <c:pt idx="28">
                  <c:v>4.95982890831717E6</c:v>
                </c:pt>
                <c:pt idx="29">
                  <c:v>5.08537103817043E6</c:v>
                </c:pt>
                <c:pt idx="30">
                  <c:v>5.20493497136401E6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F275-40A1-964D-E57696F30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681561984"/>
        <c:axId val="-703228192"/>
      </c:scatterChart>
      <c:valAx>
        <c:axId val="-681561984"/>
        <c:scaling>
          <c:orientation val="minMax"/>
          <c:max val="30.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ANNI</a:t>
                </a:r>
              </a:p>
            </c:rich>
          </c:tx>
          <c:layout>
            <c:manualLayout>
              <c:xMode val="edge"/>
              <c:yMode val="edge"/>
              <c:x val="0.511569047648204"/>
              <c:y val="0.6743387380853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703228192"/>
        <c:crosses val="autoZero"/>
        <c:crossBetween val="midCat"/>
        <c:majorUnit val="1.0"/>
      </c:valAx>
      <c:valAx>
        <c:axId val="-703228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FLUSSI</a:t>
                </a:r>
                <a:r>
                  <a:rPr lang="it-IT" baseline="0"/>
                  <a:t> DI CASSA</a:t>
                </a:r>
              </a:p>
              <a:p>
                <a:pPr>
                  <a:defRPr/>
                </a:pPr>
                <a:endParaRPr lang="it-IT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#,##0\ &quot;€&quot;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681561984"/>
        <c:crosses val="autoZero"/>
        <c:crossBetween val="midCat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r>
              <a:rPr lang="it-IT" sz="1800" b="1">
                <a:solidFill>
                  <a:srgbClr val="FF0000"/>
                </a:solidFill>
              </a:rPr>
              <a:t>CURVE</a:t>
            </a:r>
            <a:r>
              <a:rPr lang="it-IT" sz="1800" b="1" baseline="0">
                <a:solidFill>
                  <a:srgbClr val="FF0000"/>
                </a:solidFill>
              </a:rPr>
              <a:t> DELLE DURATE DELLE PORTATE NETTE</a:t>
            </a:r>
            <a:endParaRPr lang="it-IT" sz="1800" b="1">
              <a:solidFill>
                <a:srgbClr val="FF0000"/>
              </a:solidFill>
            </a:endParaRPr>
          </a:p>
        </c:rich>
      </c:tx>
      <c:layout/>
      <c:overlay val="0"/>
      <c:spPr>
        <a:noFill/>
        <a:ln w="25400">
          <a:solidFill>
            <a:srgbClr val="FF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'Valutazione risorsa idrica'!$D$41</c:f>
              <c:strCache>
                <c:ptCount val="1"/>
                <c:pt idx="0">
                  <c:v>QLORDA [m3/s]</c:v>
                </c:pt>
              </c:strCache>
            </c:strRef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'Valutazione risorsa idrica'!$C$42:$C$62</c:f>
              <c:numCache>
                <c:formatCode>0%</c:formatCode>
                <c:ptCount val="21"/>
                <c:pt idx="0">
                  <c:v>0.0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1.0</c:v>
                </c:pt>
              </c:numCache>
            </c:numRef>
          </c:xVal>
          <c:yVal>
            <c:numRef>
              <c:f>'Valutazione risorsa idrica'!$D$42:$D$62</c:f>
              <c:numCache>
                <c:formatCode>0.000</c:formatCode>
                <c:ptCount val="21"/>
                <c:pt idx="0">
                  <c:v>4.6</c:v>
                </c:pt>
                <c:pt idx="1">
                  <c:v>3.35</c:v>
                </c:pt>
                <c:pt idx="2">
                  <c:v>2.75</c:v>
                </c:pt>
                <c:pt idx="3">
                  <c:v>2.4</c:v>
                </c:pt>
                <c:pt idx="4">
                  <c:v>2.25</c:v>
                </c:pt>
                <c:pt idx="5">
                  <c:v>2.125</c:v>
                </c:pt>
                <c:pt idx="6">
                  <c:v>2.0</c:v>
                </c:pt>
                <c:pt idx="7">
                  <c:v>1.9</c:v>
                </c:pt>
                <c:pt idx="8">
                  <c:v>1.78</c:v>
                </c:pt>
                <c:pt idx="9">
                  <c:v>1.68</c:v>
                </c:pt>
                <c:pt idx="10">
                  <c:v>1.58</c:v>
                </c:pt>
                <c:pt idx="11">
                  <c:v>1.48</c:v>
                </c:pt>
                <c:pt idx="12">
                  <c:v>1.37</c:v>
                </c:pt>
                <c:pt idx="13">
                  <c:v>1.26</c:v>
                </c:pt>
                <c:pt idx="14">
                  <c:v>1.15</c:v>
                </c:pt>
                <c:pt idx="15">
                  <c:v>1.03</c:v>
                </c:pt>
                <c:pt idx="16">
                  <c:v>0.9</c:v>
                </c:pt>
                <c:pt idx="17">
                  <c:v>0.71</c:v>
                </c:pt>
                <c:pt idx="18">
                  <c:v>0.5</c:v>
                </c:pt>
                <c:pt idx="19">
                  <c:v>0.4</c:v>
                </c:pt>
                <c:pt idx="20">
                  <c:v>0.15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758C-45F0-9F4E-4015EEFE0CE0}"/>
            </c:ext>
          </c:extLst>
        </c:ser>
        <c:ser>
          <c:idx val="1"/>
          <c:order val="1"/>
          <c:tx>
            <c:strRef>
              <c:f>'Valutazione risorsa idrica'!$E$41</c:f>
              <c:strCache>
                <c:ptCount val="1"/>
                <c:pt idx="0">
                  <c:v>DMV [m3/s]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'Valutazione risorsa idrica'!$C$42:$C$62</c:f>
              <c:numCache>
                <c:formatCode>0%</c:formatCode>
                <c:ptCount val="21"/>
                <c:pt idx="0">
                  <c:v>0.0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1.0</c:v>
                </c:pt>
              </c:numCache>
            </c:numRef>
          </c:xVal>
          <c:yVal>
            <c:numRef>
              <c:f>'Valutazione risorsa idrica'!$E$42:$E$62</c:f>
              <c:numCache>
                <c:formatCode>0.000</c:formatCode>
                <c:ptCount val="21"/>
                <c:pt idx="0">
                  <c:v>0.16495</c:v>
                </c:pt>
                <c:pt idx="1">
                  <c:v>0.16495</c:v>
                </c:pt>
                <c:pt idx="2">
                  <c:v>0.16495</c:v>
                </c:pt>
                <c:pt idx="3">
                  <c:v>0.16495</c:v>
                </c:pt>
                <c:pt idx="4">
                  <c:v>0.16495</c:v>
                </c:pt>
                <c:pt idx="5">
                  <c:v>0.16495</c:v>
                </c:pt>
                <c:pt idx="6">
                  <c:v>0.16495</c:v>
                </c:pt>
                <c:pt idx="7">
                  <c:v>0.16495</c:v>
                </c:pt>
                <c:pt idx="8">
                  <c:v>0.16495</c:v>
                </c:pt>
                <c:pt idx="9">
                  <c:v>0.16495</c:v>
                </c:pt>
                <c:pt idx="10">
                  <c:v>0.16495</c:v>
                </c:pt>
                <c:pt idx="11">
                  <c:v>0.16495</c:v>
                </c:pt>
                <c:pt idx="12">
                  <c:v>0.16495</c:v>
                </c:pt>
                <c:pt idx="13">
                  <c:v>0.16495</c:v>
                </c:pt>
                <c:pt idx="14">
                  <c:v>0.16495</c:v>
                </c:pt>
                <c:pt idx="15">
                  <c:v>0.16495</c:v>
                </c:pt>
                <c:pt idx="16">
                  <c:v>0.16495</c:v>
                </c:pt>
                <c:pt idx="17">
                  <c:v>0.16495</c:v>
                </c:pt>
                <c:pt idx="18">
                  <c:v>0.16495</c:v>
                </c:pt>
                <c:pt idx="19">
                  <c:v>0.16495</c:v>
                </c:pt>
                <c:pt idx="20">
                  <c:v>0.15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758C-45F0-9F4E-4015EEFE0CE0}"/>
            </c:ext>
          </c:extLst>
        </c:ser>
        <c:ser>
          <c:idx val="2"/>
          <c:order val="2"/>
          <c:tx>
            <c:strRef>
              <c:f>'Valutazione risorsa idrica'!$F$41</c:f>
              <c:strCache>
                <c:ptCount val="1"/>
                <c:pt idx="0">
                  <c:v>QNET [m3/s]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4472C4"/>
              </a:solidFill>
              <a:ln w="9525">
                <a:solidFill>
                  <a:srgbClr val="0070C0"/>
                </a:solidFill>
              </a:ln>
              <a:effectLst/>
            </c:spPr>
          </c:marker>
          <c:xVal>
            <c:numRef>
              <c:f>'Valutazione risorsa idrica'!$C$42:$C$62</c:f>
              <c:numCache>
                <c:formatCode>0%</c:formatCode>
                <c:ptCount val="21"/>
                <c:pt idx="0">
                  <c:v>0.0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1.0</c:v>
                </c:pt>
              </c:numCache>
            </c:numRef>
          </c:xVal>
          <c:yVal>
            <c:numRef>
              <c:f>'Valutazione risorsa idrica'!$F$42:$F$62</c:f>
              <c:numCache>
                <c:formatCode>0.000</c:formatCode>
                <c:ptCount val="21"/>
                <c:pt idx="0">
                  <c:v>4.43505</c:v>
                </c:pt>
                <c:pt idx="1">
                  <c:v>3.18505</c:v>
                </c:pt>
                <c:pt idx="2">
                  <c:v>2.58505</c:v>
                </c:pt>
                <c:pt idx="3">
                  <c:v>2.23505</c:v>
                </c:pt>
                <c:pt idx="4">
                  <c:v>2.08505</c:v>
                </c:pt>
                <c:pt idx="5">
                  <c:v>1.96005</c:v>
                </c:pt>
                <c:pt idx="6">
                  <c:v>1.83505</c:v>
                </c:pt>
                <c:pt idx="7">
                  <c:v>1.73505</c:v>
                </c:pt>
                <c:pt idx="8">
                  <c:v>1.61505</c:v>
                </c:pt>
                <c:pt idx="9">
                  <c:v>1.51505</c:v>
                </c:pt>
                <c:pt idx="10">
                  <c:v>1.41505</c:v>
                </c:pt>
                <c:pt idx="11">
                  <c:v>1.31505</c:v>
                </c:pt>
                <c:pt idx="12">
                  <c:v>1.20505</c:v>
                </c:pt>
                <c:pt idx="13">
                  <c:v>1.09505</c:v>
                </c:pt>
                <c:pt idx="14">
                  <c:v>0.98505</c:v>
                </c:pt>
                <c:pt idx="15">
                  <c:v>0.86505</c:v>
                </c:pt>
                <c:pt idx="16">
                  <c:v>0.73505</c:v>
                </c:pt>
                <c:pt idx="17">
                  <c:v>0.54505</c:v>
                </c:pt>
                <c:pt idx="18">
                  <c:v>0.33505</c:v>
                </c:pt>
                <c:pt idx="19">
                  <c:v>0.23505</c:v>
                </c:pt>
                <c:pt idx="20">
                  <c:v>0.0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758C-45F0-9F4E-4015EEFE0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647505648"/>
        <c:axId val="-647502528"/>
      </c:scatterChart>
      <c:valAx>
        <c:axId val="-647505648"/>
        <c:scaling>
          <c:orientation val="minMax"/>
          <c:max val="1.0"/>
          <c:min val="0.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DURATA 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0%" sourceLinked="0"/>
        <c:majorTickMark val="cross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647502528"/>
        <c:crosses val="autoZero"/>
        <c:crossBetween val="midCat"/>
        <c:majorUnit val="0.1"/>
      </c:valAx>
      <c:valAx>
        <c:axId val="-647502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PORTATA </a:t>
                </a:r>
                <a:r>
                  <a:rPr lang="mr-IN"/>
                  <a:t>[m3/s</a:t>
                </a:r>
                <a:r>
                  <a:rPr lang="it-IT"/>
                  <a:t>]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0.0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6475056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ysClr val="window" lastClr="FFFFFF"/>
    </a:soli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800" b="1">
                <a:solidFill>
                  <a:srgbClr val="FF0000"/>
                </a:solidFill>
              </a:rPr>
              <a:t>CURVA DELLE DURATE DELLE</a:t>
            </a:r>
            <a:r>
              <a:rPr lang="it-IT" sz="1800" b="1" baseline="0">
                <a:solidFill>
                  <a:srgbClr val="FF0000"/>
                </a:solidFill>
              </a:rPr>
              <a:t> PORTATE</a:t>
            </a:r>
            <a:r>
              <a:rPr lang="it-IT" sz="1800" b="1">
                <a:solidFill>
                  <a:srgbClr val="FF0000"/>
                </a:solidFill>
              </a:rPr>
              <a:t> DERIVATE </a:t>
            </a:r>
          </a:p>
        </c:rich>
      </c:tx>
      <c:layout/>
      <c:overlay val="0"/>
      <c:spPr>
        <a:noFill/>
        <a:ln w="25400">
          <a:solidFill>
            <a:srgbClr val="FF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'Valutazione risorsa idrica'!$D$73</c:f>
              <c:strCache>
                <c:ptCount val="1"/>
                <c:pt idx="0">
                  <c:v>QNETTA [m3/s]</c:v>
                </c:pt>
              </c:strCache>
            </c:strRef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'Valutazione risorsa idrica'!$C$74:$C$94</c:f>
              <c:numCache>
                <c:formatCode>0%</c:formatCode>
                <c:ptCount val="21"/>
                <c:pt idx="0">
                  <c:v>0.0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1.0</c:v>
                </c:pt>
              </c:numCache>
            </c:numRef>
          </c:xVal>
          <c:yVal>
            <c:numRef>
              <c:f>'Valutazione risorsa idrica'!$D$74:$D$94</c:f>
              <c:numCache>
                <c:formatCode>0.000</c:formatCode>
                <c:ptCount val="21"/>
                <c:pt idx="0">
                  <c:v>4.43505</c:v>
                </c:pt>
                <c:pt idx="1">
                  <c:v>3.18505</c:v>
                </c:pt>
                <c:pt idx="2">
                  <c:v>2.58505</c:v>
                </c:pt>
                <c:pt idx="3">
                  <c:v>2.23505</c:v>
                </c:pt>
                <c:pt idx="4">
                  <c:v>2.08505</c:v>
                </c:pt>
                <c:pt idx="5">
                  <c:v>1.96005</c:v>
                </c:pt>
                <c:pt idx="6">
                  <c:v>1.83505</c:v>
                </c:pt>
                <c:pt idx="7">
                  <c:v>1.73505</c:v>
                </c:pt>
                <c:pt idx="8">
                  <c:v>1.61505</c:v>
                </c:pt>
                <c:pt idx="9">
                  <c:v>1.51505</c:v>
                </c:pt>
                <c:pt idx="10">
                  <c:v>1.41505</c:v>
                </c:pt>
                <c:pt idx="11">
                  <c:v>1.31505</c:v>
                </c:pt>
                <c:pt idx="12">
                  <c:v>1.20505</c:v>
                </c:pt>
                <c:pt idx="13">
                  <c:v>1.09505</c:v>
                </c:pt>
                <c:pt idx="14">
                  <c:v>0.98505</c:v>
                </c:pt>
                <c:pt idx="15">
                  <c:v>0.86505</c:v>
                </c:pt>
                <c:pt idx="16">
                  <c:v>0.73505</c:v>
                </c:pt>
                <c:pt idx="17">
                  <c:v>0.54505</c:v>
                </c:pt>
                <c:pt idx="18">
                  <c:v>0.33505</c:v>
                </c:pt>
                <c:pt idx="19">
                  <c:v>0.23505</c:v>
                </c:pt>
                <c:pt idx="20">
                  <c:v>0.0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082C-462F-A43C-35C5858F3E0E}"/>
            </c:ext>
          </c:extLst>
        </c:ser>
        <c:ser>
          <c:idx val="1"/>
          <c:order val="1"/>
          <c:tx>
            <c:strRef>
              <c:f>'Valutazione risorsa idrica'!$E$73</c:f>
              <c:strCache>
                <c:ptCount val="1"/>
                <c:pt idx="0">
                  <c:v>QDER  [m3/s]</c:v>
                </c:pt>
              </c:strCache>
            </c:strRef>
          </c:tx>
          <c:spPr>
            <a:ln w="19050" cap="rnd">
              <a:solidFill>
                <a:srgbClr val="00B050">
                  <a:alpha val="90000"/>
                </a:srgb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'Valutazione risorsa idrica'!$C$74:$C$94</c:f>
              <c:numCache>
                <c:formatCode>0%</c:formatCode>
                <c:ptCount val="21"/>
                <c:pt idx="0">
                  <c:v>0.0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1.0</c:v>
                </c:pt>
              </c:numCache>
            </c:numRef>
          </c:xVal>
          <c:yVal>
            <c:numRef>
              <c:f>'Valutazione risorsa idrica'!$E$74:$E$94</c:f>
              <c:numCache>
                <c:formatCode>0.000</c:formatCode>
                <c:ptCount val="21"/>
                <c:pt idx="0">
                  <c:v>2.23505</c:v>
                </c:pt>
                <c:pt idx="1">
                  <c:v>2.23505</c:v>
                </c:pt>
                <c:pt idx="2">
                  <c:v>2.23505</c:v>
                </c:pt>
                <c:pt idx="3">
                  <c:v>2.23505</c:v>
                </c:pt>
                <c:pt idx="4">
                  <c:v>2.08505</c:v>
                </c:pt>
                <c:pt idx="5">
                  <c:v>1.96005</c:v>
                </c:pt>
                <c:pt idx="6">
                  <c:v>1.83505</c:v>
                </c:pt>
                <c:pt idx="7">
                  <c:v>1.73505</c:v>
                </c:pt>
                <c:pt idx="8">
                  <c:v>1.61505</c:v>
                </c:pt>
                <c:pt idx="9">
                  <c:v>1.51505</c:v>
                </c:pt>
                <c:pt idx="10">
                  <c:v>1.41505</c:v>
                </c:pt>
                <c:pt idx="11">
                  <c:v>1.31505</c:v>
                </c:pt>
                <c:pt idx="12">
                  <c:v>1.20505</c:v>
                </c:pt>
                <c:pt idx="13">
                  <c:v>1.09505</c:v>
                </c:pt>
                <c:pt idx="14">
                  <c:v>0.98505</c:v>
                </c:pt>
                <c:pt idx="15">
                  <c:v>0.86505</c:v>
                </c:pt>
                <c:pt idx="16">
                  <c:v>0.73505</c:v>
                </c:pt>
                <c:pt idx="17">
                  <c:v>0.54505</c:v>
                </c:pt>
                <c:pt idx="18">
                  <c:v>0.33505</c:v>
                </c:pt>
                <c:pt idx="19">
                  <c:v>0.23505</c:v>
                </c:pt>
                <c:pt idx="20">
                  <c:v>0.0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82C-462F-A43C-35C5858F3E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647305312"/>
        <c:axId val="-647302608"/>
      </c:scatterChart>
      <c:valAx>
        <c:axId val="-647305312"/>
        <c:scaling>
          <c:orientation val="minMax"/>
          <c:max val="1.0"/>
          <c:min val="0.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DURATA</a:t>
                </a:r>
                <a:r>
                  <a:rPr lang="it-IT" baseline="0"/>
                  <a:t> %</a:t>
                </a:r>
                <a:endParaRPr lang="it-IT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0%" sourceLinked="0"/>
        <c:majorTickMark val="cross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647302608"/>
        <c:crosses val="autoZero"/>
        <c:crossBetween val="midCat"/>
        <c:majorUnit val="0.1"/>
      </c:valAx>
      <c:valAx>
        <c:axId val="-647302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PORTATA </a:t>
                </a:r>
                <a:r>
                  <a:rPr lang="mr-IN"/>
                  <a:t>[m3/s]</a:t>
                </a:r>
                <a:endParaRPr lang="it-IT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0.0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6473053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ysClr val="window" lastClr="FFFFFF"/>
    </a:soli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800" b="1">
                <a:solidFill>
                  <a:srgbClr val="FF0000"/>
                </a:solidFill>
              </a:rPr>
              <a:t>CURVE DI UTILIZZAZIONE</a:t>
            </a:r>
          </a:p>
        </c:rich>
      </c:tx>
      <c:layout/>
      <c:overlay val="0"/>
      <c:spPr>
        <a:noFill/>
        <a:ln>
          <a:solidFill>
            <a:srgbClr val="FF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'Valutazione risorsa idrica'!$D$136</c:f>
              <c:strCache>
                <c:ptCount val="1"/>
                <c:pt idx="0">
                  <c:v>Coef. Utilizzazione del corso d'acqua</c:v>
                </c:pt>
              </c:strCache>
            </c:strRef>
          </c:tx>
          <c:spPr>
            <a:ln w="2540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'Valutazione risorsa idrica'!$C$137:$C$147</c:f>
              <c:numCache>
                <c:formatCode>General</c:formatCode>
                <c:ptCount val="11"/>
                <c:pt idx="0">
                  <c:v>0.0</c:v>
                </c:pt>
                <c:pt idx="1">
                  <c:v>0.5</c:v>
                </c:pt>
                <c:pt idx="2">
                  <c:v>1.0</c:v>
                </c:pt>
                <c:pt idx="3">
                  <c:v>1.5</c:v>
                </c:pt>
                <c:pt idx="4">
                  <c:v>2.0</c:v>
                </c:pt>
                <c:pt idx="5">
                  <c:v>2.5</c:v>
                </c:pt>
                <c:pt idx="6">
                  <c:v>3.0</c:v>
                </c:pt>
                <c:pt idx="7">
                  <c:v>3.5</c:v>
                </c:pt>
                <c:pt idx="8">
                  <c:v>4.0</c:v>
                </c:pt>
                <c:pt idx="9">
                  <c:v>4.5</c:v>
                </c:pt>
                <c:pt idx="10">
                  <c:v>5.0</c:v>
                </c:pt>
              </c:numCache>
            </c:numRef>
          </c:xVal>
          <c:yVal>
            <c:numRef>
              <c:f>'Valutazione risorsa idrica'!$D$137:$D$147</c:f>
              <c:numCache>
                <c:formatCode>General</c:formatCode>
                <c:ptCount val="11"/>
                <c:pt idx="0">
                  <c:v>0.0</c:v>
                </c:pt>
                <c:pt idx="1">
                  <c:v>0.309866920776235</c:v>
                </c:pt>
                <c:pt idx="2">
                  <c:v>0.57520714447459</c:v>
                </c:pt>
                <c:pt idx="3">
                  <c:v>0.769836666697533</c:v>
                </c:pt>
                <c:pt idx="4">
                  <c:v>0.884665795129211</c:v>
                </c:pt>
                <c:pt idx="5">
                  <c:v>0.937533829598995</c:v>
                </c:pt>
                <c:pt idx="6">
                  <c:v>0.965651434964253</c:v>
                </c:pt>
                <c:pt idx="7">
                  <c:v>0.980300335286576</c:v>
                </c:pt>
                <c:pt idx="8">
                  <c:v>0.988718275938411</c:v>
                </c:pt>
                <c:pt idx="9">
                  <c:v>0.996042726099572</c:v>
                </c:pt>
                <c:pt idx="10">
                  <c:v>0.996042726099572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943A-4F21-8734-60CC7D7E3A86}"/>
            </c:ext>
          </c:extLst>
        </c:ser>
        <c:ser>
          <c:idx val="1"/>
          <c:order val="1"/>
          <c:tx>
            <c:strRef>
              <c:f>'Valutazione risorsa idrica'!$E$136</c:f>
              <c:strCache>
                <c:ptCount val="1"/>
                <c:pt idx="0">
                  <c:v>Coef. Utilizzazione  dell'impianto</c:v>
                </c:pt>
              </c:strCache>
            </c:strRef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'Valutazione risorsa idrica'!$C$137:$C$147</c:f>
              <c:numCache>
                <c:formatCode>General</c:formatCode>
                <c:ptCount val="11"/>
                <c:pt idx="0">
                  <c:v>0.0</c:v>
                </c:pt>
                <c:pt idx="1">
                  <c:v>0.5</c:v>
                </c:pt>
                <c:pt idx="2">
                  <c:v>1.0</c:v>
                </c:pt>
                <c:pt idx="3">
                  <c:v>1.5</c:v>
                </c:pt>
                <c:pt idx="4">
                  <c:v>2.0</c:v>
                </c:pt>
                <c:pt idx="5">
                  <c:v>2.5</c:v>
                </c:pt>
                <c:pt idx="6">
                  <c:v>3.0</c:v>
                </c:pt>
                <c:pt idx="7">
                  <c:v>3.5</c:v>
                </c:pt>
                <c:pt idx="8">
                  <c:v>4.0</c:v>
                </c:pt>
                <c:pt idx="9">
                  <c:v>4.5</c:v>
                </c:pt>
                <c:pt idx="10">
                  <c:v>5.0</c:v>
                </c:pt>
              </c:numCache>
            </c:numRef>
          </c:xVal>
          <c:yVal>
            <c:numRef>
              <c:f>'Valutazione risorsa idrica'!$E$137:$E$147</c:f>
              <c:numCache>
                <c:formatCode>General</c:formatCode>
                <c:ptCount val="11"/>
                <c:pt idx="0">
                  <c:v>1.0</c:v>
                </c:pt>
                <c:pt idx="1">
                  <c:v>0.9202575</c:v>
                </c:pt>
                <c:pt idx="2">
                  <c:v>0.85413875</c:v>
                </c:pt>
                <c:pt idx="3">
                  <c:v>0.762099166666667</c:v>
                </c:pt>
                <c:pt idx="4">
                  <c:v>0.656830625</c:v>
                </c:pt>
                <c:pt idx="5">
                  <c:v>0.5568665</c:v>
                </c:pt>
                <c:pt idx="6">
                  <c:v>0.477972916666667</c:v>
                </c:pt>
                <c:pt idx="7">
                  <c:v>0.415906071428571</c:v>
                </c:pt>
                <c:pt idx="8">
                  <c:v>0.3670428125</c:v>
                </c:pt>
                <c:pt idx="9">
                  <c:v>0.333490603262646</c:v>
                </c:pt>
                <c:pt idx="10">
                  <c:v>0.333490603262646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943A-4F21-8734-60CC7D7E3A86}"/>
            </c:ext>
          </c:extLst>
        </c:ser>
        <c:ser>
          <c:idx val="2"/>
          <c:order val="2"/>
          <c:tx>
            <c:strRef>
              <c:f>'Valutazione risorsa idrica'!$F$136</c:f>
              <c:strCache>
                <c:ptCount val="1"/>
                <c:pt idx="0">
                  <c:v>QP</c:v>
                </c:pt>
              </c:strCache>
            </c:strRef>
          </c:tx>
          <c:spPr>
            <a:ln w="254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'Valutazione risorsa idrica'!$F$137:$F$147</c:f>
              <c:numCache>
                <c:formatCode>0.000</c:formatCode>
                <c:ptCount val="11"/>
                <c:pt idx="0">
                  <c:v>2.23505</c:v>
                </c:pt>
                <c:pt idx="1">
                  <c:v>2.23505</c:v>
                </c:pt>
                <c:pt idx="2">
                  <c:v>2.23505</c:v>
                </c:pt>
              </c:numCache>
            </c:numRef>
          </c:xVal>
          <c:yVal>
            <c:numRef>
              <c:f>'Valutazione risorsa idrica'!$C$137:$C$147</c:f>
              <c:numCache>
                <c:formatCode>General</c:formatCode>
                <c:ptCount val="11"/>
                <c:pt idx="0">
                  <c:v>0.0</c:v>
                </c:pt>
                <c:pt idx="1">
                  <c:v>0.5</c:v>
                </c:pt>
                <c:pt idx="2">
                  <c:v>1.0</c:v>
                </c:pt>
                <c:pt idx="3">
                  <c:v>1.5</c:v>
                </c:pt>
                <c:pt idx="4">
                  <c:v>2.0</c:v>
                </c:pt>
                <c:pt idx="5">
                  <c:v>2.5</c:v>
                </c:pt>
                <c:pt idx="6">
                  <c:v>3.0</c:v>
                </c:pt>
                <c:pt idx="7">
                  <c:v>3.5</c:v>
                </c:pt>
                <c:pt idx="8">
                  <c:v>4.0</c:v>
                </c:pt>
                <c:pt idx="9">
                  <c:v>4.5</c:v>
                </c:pt>
                <c:pt idx="10">
                  <c:v>5.0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943A-4F21-8734-60CC7D7E3A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647116880"/>
        <c:axId val="-647113488"/>
      </c:scatterChart>
      <c:valAx>
        <c:axId val="-647116880"/>
        <c:scaling>
          <c:orientation val="minMax"/>
          <c:max val="5.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PORTATA</a:t>
                </a:r>
                <a:r>
                  <a:rPr lang="it-IT" baseline="0"/>
                  <a:t> DI PROGETTO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647113488"/>
        <c:crosses val="autoZero"/>
        <c:crossBetween val="midCat"/>
      </c:valAx>
      <c:valAx>
        <c:axId val="-647113488"/>
        <c:scaling>
          <c:orientation val="minMax"/>
          <c:max val="1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COEFFICIENTI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6471168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</c:chart>
  <c:spPr>
    <a:solidFill>
      <a:schemeClr val="bg1"/>
    </a:solidFill>
    <a:ln w="254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600" b="1">
                <a:solidFill>
                  <a:srgbClr val="FF0000"/>
                </a:solidFill>
              </a:rPr>
              <a:t>CAMPI DI FUNZIONAMENTO TURBINE</a:t>
            </a:r>
          </a:p>
        </c:rich>
      </c:tx>
      <c:layout/>
      <c:overlay val="0"/>
      <c:spPr>
        <a:noFill/>
        <a:ln>
          <a:solidFill>
            <a:srgbClr val="FF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xVal>
            <c:numRef>
              <c:f>'Scelta della turbina'!$E$7</c:f>
              <c:numCache>
                <c:formatCode>0.000</c:formatCode>
                <c:ptCount val="1"/>
                <c:pt idx="0">
                  <c:v>2.23505</c:v>
                </c:pt>
              </c:numCache>
            </c:numRef>
          </c:xVal>
          <c:yVal>
            <c:numRef>
              <c:f>'Scelta della turbina'!$E$6</c:f>
              <c:numCache>
                <c:formatCode>0.000</c:formatCode>
                <c:ptCount val="1"/>
                <c:pt idx="0">
                  <c:v>95.53589802029933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7B-4DDF-8721-C8649A16EF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42162800"/>
        <c:axId val="-647690016"/>
      </c:scatterChart>
      <c:valAx>
        <c:axId val="-742162800"/>
        <c:scaling>
          <c:logBase val="10.0"/>
          <c:orientation val="minMax"/>
          <c:max val="100.0"/>
          <c:min val="0.000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PORTATA </a:t>
                </a:r>
                <a:r>
                  <a:rPr lang="mr-IN"/>
                  <a:t>[m3/s]</a:t>
                </a:r>
                <a:endParaRPr lang="it-IT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647690016"/>
        <c:crosses val="autoZero"/>
        <c:crossBetween val="midCat"/>
      </c:valAx>
      <c:valAx>
        <c:axId val="-647690016"/>
        <c:scaling>
          <c:logBase val="10.0"/>
          <c:orientation val="minMax"/>
          <c:max val="1100.0"/>
          <c:min val="1.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SALTO</a:t>
                </a:r>
                <a:r>
                  <a:rPr lang="it-IT" baseline="0"/>
                  <a:t> [m]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0.0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742162800"/>
        <c:crossesAt val="0.0005"/>
        <c:crossBetween val="midCat"/>
      </c:valAx>
      <c:spPr>
        <a:blipFill>
          <a:blip xmlns:r="http://schemas.openxmlformats.org/officeDocument/2006/relationships" r:embed="rId3"/>
          <a:stretch>
            <a:fillRect/>
          </a:stretch>
        </a:blip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4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600" b="1">
                <a:solidFill>
                  <a:srgbClr val="FF0000"/>
                </a:solidFill>
              </a:rPr>
              <a:t>CURVA</a:t>
            </a:r>
            <a:r>
              <a:rPr lang="it-IT" sz="1600" b="1" baseline="0">
                <a:solidFill>
                  <a:srgbClr val="FF0000"/>
                </a:solidFill>
              </a:rPr>
              <a:t> DI RENDIMENTO </a:t>
            </a:r>
            <a:r>
              <a:rPr lang="el-GR" sz="1600" b="1" baseline="0">
                <a:solidFill>
                  <a:srgbClr val="FF0000"/>
                </a:solidFill>
              </a:rPr>
              <a:t>η</a:t>
            </a:r>
            <a:r>
              <a:rPr lang="it-IT" sz="1600" b="1" baseline="0">
                <a:solidFill>
                  <a:srgbClr val="FF0000"/>
                </a:solidFill>
              </a:rPr>
              <a:t> </a:t>
            </a:r>
            <a:endParaRPr lang="el-GR" sz="1600" b="1">
              <a:solidFill>
                <a:srgbClr val="FF0000"/>
              </a:solidFill>
            </a:endParaRPr>
          </a:p>
        </c:rich>
      </c:tx>
      <c:layout/>
      <c:overlay val="0"/>
      <c:spPr>
        <a:noFill/>
        <a:ln>
          <a:solidFill>
            <a:srgbClr val="FF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'Scelta della turbina'!$E$78</c:f>
              <c:strCache>
                <c:ptCount val="1"/>
                <c:pt idx="0">
                  <c:v>η</c:v>
                </c:pt>
              </c:strCache>
            </c:strRef>
          </c:tx>
          <c:spPr>
            <a:ln w="2540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noFill/>
              </a:ln>
              <a:effectLst/>
            </c:spPr>
          </c:marker>
          <c:xVal>
            <c:numRef>
              <c:f>'Scelta della turbina'!$C$79:$C$99</c:f>
              <c:numCache>
                <c:formatCode>0%</c:formatCode>
                <c:ptCount val="21"/>
                <c:pt idx="0">
                  <c:v>0.0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1.0</c:v>
                </c:pt>
              </c:numCache>
            </c:numRef>
          </c:xVal>
          <c:yVal>
            <c:numRef>
              <c:f>'Scelta della turbina'!$E$79:$E$99</c:f>
              <c:numCache>
                <c:formatCode>0%</c:formatCode>
                <c:ptCount val="21"/>
                <c:pt idx="0">
                  <c:v>0.0</c:v>
                </c:pt>
                <c:pt idx="1">
                  <c:v>0.0</c:v>
                </c:pt>
                <c:pt idx="2">
                  <c:v>0.08</c:v>
                </c:pt>
                <c:pt idx="3">
                  <c:v>0.22</c:v>
                </c:pt>
                <c:pt idx="4">
                  <c:v>0.34</c:v>
                </c:pt>
                <c:pt idx="5">
                  <c:v>0.44</c:v>
                </c:pt>
                <c:pt idx="6">
                  <c:v>0.54</c:v>
                </c:pt>
                <c:pt idx="7">
                  <c:v>0.62</c:v>
                </c:pt>
                <c:pt idx="8">
                  <c:v>0.7</c:v>
                </c:pt>
                <c:pt idx="9">
                  <c:v>0.76</c:v>
                </c:pt>
                <c:pt idx="10">
                  <c:v>0.81</c:v>
                </c:pt>
                <c:pt idx="11">
                  <c:v>0.85</c:v>
                </c:pt>
                <c:pt idx="12">
                  <c:v>0.88</c:v>
                </c:pt>
                <c:pt idx="13">
                  <c:v>0.9</c:v>
                </c:pt>
                <c:pt idx="14">
                  <c:v>0.91</c:v>
                </c:pt>
                <c:pt idx="15">
                  <c:v>0.92</c:v>
                </c:pt>
                <c:pt idx="16">
                  <c:v>0.92</c:v>
                </c:pt>
                <c:pt idx="17">
                  <c:v>0.92</c:v>
                </c:pt>
                <c:pt idx="18">
                  <c:v>0.91</c:v>
                </c:pt>
                <c:pt idx="19">
                  <c:v>0.9</c:v>
                </c:pt>
                <c:pt idx="20">
                  <c:v>0.88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A73-4CFA-9BC0-6B9D7185E5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647772256"/>
        <c:axId val="-647769136"/>
      </c:scatterChart>
      <c:valAx>
        <c:axId val="-647772256"/>
        <c:scaling>
          <c:orientation val="minMax"/>
          <c:max val="1.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% PORTATA</a:t>
                </a:r>
                <a:r>
                  <a:rPr lang="it-IT" baseline="0"/>
                  <a:t> DI PROGETTO</a:t>
                </a:r>
                <a:endParaRPr lang="it-IT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647769136"/>
        <c:crosses val="autoZero"/>
        <c:crossBetween val="midCat"/>
        <c:majorUnit val="0.05"/>
      </c:valAx>
      <c:valAx>
        <c:axId val="-647769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RENDIMENTO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6477722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600" b="1">
                <a:solidFill>
                  <a:srgbClr val="FF0000"/>
                </a:solidFill>
              </a:rPr>
              <a:t>CURVA DELLE</a:t>
            </a:r>
            <a:r>
              <a:rPr lang="it-IT" sz="1600" b="1" baseline="0">
                <a:solidFill>
                  <a:srgbClr val="FF0000"/>
                </a:solidFill>
              </a:rPr>
              <a:t> DURATE DELLA PORTATA E DALLA POTENZA</a:t>
            </a:r>
            <a:endParaRPr lang="it-IT" b="1"/>
          </a:p>
        </c:rich>
      </c:tx>
      <c:layout/>
      <c:overlay val="0"/>
      <c:spPr>
        <a:noFill/>
        <a:ln>
          <a:solidFill>
            <a:srgbClr val="FF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'Valutazione Potenziale'!$D$20</c:f>
              <c:strCache>
                <c:ptCount val="1"/>
                <c:pt idx="0">
                  <c:v>QNETTA</c:v>
                </c:pt>
              </c:strCache>
            </c:strRef>
          </c:tx>
          <c:spPr>
            <a:ln w="2540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noFill/>
              </a:ln>
              <a:effectLst/>
            </c:spPr>
          </c:marker>
          <c:xVal>
            <c:numRef>
              <c:f>'Valutazione Potenziale'!$C$21:$C$41</c:f>
              <c:numCache>
                <c:formatCode>0%</c:formatCode>
                <c:ptCount val="21"/>
                <c:pt idx="0">
                  <c:v>0.0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1.0</c:v>
                </c:pt>
              </c:numCache>
            </c:numRef>
          </c:xVal>
          <c:yVal>
            <c:numRef>
              <c:f>'Valutazione Potenziale'!$D$21:$D$41</c:f>
              <c:numCache>
                <c:formatCode>General</c:formatCode>
                <c:ptCount val="21"/>
                <c:pt idx="0">
                  <c:v>4.43505</c:v>
                </c:pt>
                <c:pt idx="1">
                  <c:v>3.18505</c:v>
                </c:pt>
                <c:pt idx="2">
                  <c:v>2.58505</c:v>
                </c:pt>
                <c:pt idx="3">
                  <c:v>2.23505</c:v>
                </c:pt>
                <c:pt idx="4">
                  <c:v>2.08505</c:v>
                </c:pt>
                <c:pt idx="5">
                  <c:v>1.96005</c:v>
                </c:pt>
                <c:pt idx="6">
                  <c:v>1.83505</c:v>
                </c:pt>
                <c:pt idx="7">
                  <c:v>1.73505</c:v>
                </c:pt>
                <c:pt idx="8">
                  <c:v>1.61505</c:v>
                </c:pt>
                <c:pt idx="9">
                  <c:v>1.51505</c:v>
                </c:pt>
                <c:pt idx="10">
                  <c:v>1.41505</c:v>
                </c:pt>
                <c:pt idx="11">
                  <c:v>1.31505</c:v>
                </c:pt>
                <c:pt idx="12">
                  <c:v>1.20505</c:v>
                </c:pt>
                <c:pt idx="13">
                  <c:v>1.09505</c:v>
                </c:pt>
                <c:pt idx="14">
                  <c:v>0.98505</c:v>
                </c:pt>
                <c:pt idx="15">
                  <c:v>0.86505</c:v>
                </c:pt>
                <c:pt idx="16">
                  <c:v>0.73505</c:v>
                </c:pt>
                <c:pt idx="17">
                  <c:v>0.54505</c:v>
                </c:pt>
                <c:pt idx="18">
                  <c:v>0.33505</c:v>
                </c:pt>
                <c:pt idx="19">
                  <c:v>0.23505</c:v>
                </c:pt>
                <c:pt idx="20">
                  <c:v>0.0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B8F9-460F-A669-573967C452BD}"/>
            </c:ext>
          </c:extLst>
        </c:ser>
        <c:ser>
          <c:idx val="1"/>
          <c:order val="1"/>
          <c:tx>
            <c:strRef>
              <c:f>'Valutazione Potenziale'!$E$20</c:f>
              <c:strCache>
                <c:ptCount val="1"/>
                <c:pt idx="0">
                  <c:v>Q der</c:v>
                </c:pt>
              </c:strCache>
            </c:strRef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xVal>
            <c:numRef>
              <c:f>'Valutazione Potenziale'!$C$21:$C$41</c:f>
              <c:numCache>
                <c:formatCode>0%</c:formatCode>
                <c:ptCount val="21"/>
                <c:pt idx="0">
                  <c:v>0.0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1.0</c:v>
                </c:pt>
              </c:numCache>
            </c:numRef>
          </c:xVal>
          <c:yVal>
            <c:numRef>
              <c:f>'Valutazione Potenziale'!$E$21:$E$41</c:f>
              <c:numCache>
                <c:formatCode>General</c:formatCode>
                <c:ptCount val="21"/>
                <c:pt idx="0">
                  <c:v>2.23505</c:v>
                </c:pt>
                <c:pt idx="1">
                  <c:v>2.23505</c:v>
                </c:pt>
                <c:pt idx="2">
                  <c:v>2.23505</c:v>
                </c:pt>
                <c:pt idx="3">
                  <c:v>2.23505</c:v>
                </c:pt>
                <c:pt idx="4">
                  <c:v>2.08505</c:v>
                </c:pt>
                <c:pt idx="5">
                  <c:v>1.96005</c:v>
                </c:pt>
                <c:pt idx="6">
                  <c:v>1.83505</c:v>
                </c:pt>
                <c:pt idx="7">
                  <c:v>1.73505</c:v>
                </c:pt>
                <c:pt idx="8">
                  <c:v>1.61505</c:v>
                </c:pt>
                <c:pt idx="9">
                  <c:v>1.51505</c:v>
                </c:pt>
                <c:pt idx="10">
                  <c:v>1.41505</c:v>
                </c:pt>
                <c:pt idx="11">
                  <c:v>1.31505</c:v>
                </c:pt>
                <c:pt idx="12">
                  <c:v>1.20505</c:v>
                </c:pt>
                <c:pt idx="13">
                  <c:v>1.09505</c:v>
                </c:pt>
                <c:pt idx="14">
                  <c:v>0.98505</c:v>
                </c:pt>
                <c:pt idx="15">
                  <c:v>0.86505</c:v>
                </c:pt>
                <c:pt idx="16">
                  <c:v>0.73505</c:v>
                </c:pt>
                <c:pt idx="17">
                  <c:v>0.54505</c:v>
                </c:pt>
                <c:pt idx="18">
                  <c:v>0.33505</c:v>
                </c:pt>
                <c:pt idx="19">
                  <c:v>0.23505</c:v>
                </c:pt>
                <c:pt idx="20">
                  <c:v>0.0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B8F9-460F-A669-573967C452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25898704"/>
        <c:axId val="-744005952"/>
      </c:scatterChart>
      <c:scatterChart>
        <c:scatterStyle val="smoothMarker"/>
        <c:varyColors val="0"/>
        <c:ser>
          <c:idx val="2"/>
          <c:order val="2"/>
          <c:tx>
            <c:strRef>
              <c:f>'Valutazione Potenziale'!$F$20</c:f>
              <c:strCache>
                <c:ptCount val="1"/>
                <c:pt idx="0">
                  <c:v> Pt</c:v>
                </c:pt>
              </c:strCache>
            </c:strRef>
          </c:tx>
          <c:spPr>
            <a:ln w="2540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noFill/>
              </a:ln>
              <a:effectLst/>
            </c:spPr>
          </c:marker>
          <c:xVal>
            <c:numRef>
              <c:f>'Valutazione Potenziale'!$C$21:$C$41</c:f>
              <c:numCache>
                <c:formatCode>0%</c:formatCode>
                <c:ptCount val="21"/>
                <c:pt idx="0">
                  <c:v>0.0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1.0</c:v>
                </c:pt>
              </c:numCache>
            </c:numRef>
          </c:xVal>
          <c:yVal>
            <c:numRef>
              <c:f>'Valutazione Potenziale'!$F$21:$F$41</c:f>
              <c:numCache>
                <c:formatCode>0</c:formatCode>
                <c:ptCount val="21"/>
                <c:pt idx="0">
                  <c:v>1837.810257739542</c:v>
                </c:pt>
                <c:pt idx="1">
                  <c:v>1837.810257739542</c:v>
                </c:pt>
                <c:pt idx="2">
                  <c:v>1837.810257739542</c:v>
                </c:pt>
                <c:pt idx="3">
                  <c:v>1837.810257739542</c:v>
                </c:pt>
                <c:pt idx="4">
                  <c:v>1781.895381585888</c:v>
                </c:pt>
                <c:pt idx="5">
                  <c:v>1684.945016497392</c:v>
                </c:pt>
                <c:pt idx="6">
                  <c:v>1577.489529615846</c:v>
                </c:pt>
                <c:pt idx="7">
                  <c:v>1482.641254547547</c:v>
                </c:pt>
                <c:pt idx="8">
                  <c:v>1366.594508537279</c:v>
                </c:pt>
                <c:pt idx="9">
                  <c:v>1264.53062466251</c:v>
                </c:pt>
                <c:pt idx="10">
                  <c:v>1154.328849857795</c:v>
                </c:pt>
                <c:pt idx="11">
                  <c:v>1033.804566059055</c:v>
                </c:pt>
                <c:pt idx="12">
                  <c:v>900.7319528343621</c:v>
                </c:pt>
                <c:pt idx="13">
                  <c:v>766.2553173569848</c:v>
                </c:pt>
                <c:pt idx="14">
                  <c:v>625.2099948872021</c:v>
                </c:pt>
                <c:pt idx="15">
                  <c:v>473.8235948178503</c:v>
                </c:pt>
                <c:pt idx="16">
                  <c:v>293.7764132462482</c:v>
                </c:pt>
                <c:pt idx="17">
                  <c:v>111.9119131231436</c:v>
                </c:pt>
                <c:pt idx="18">
                  <c:v>29.5735242982524</c:v>
                </c:pt>
                <c:pt idx="19">
                  <c:v>0.0</c:v>
                </c:pt>
                <c:pt idx="20">
                  <c:v>0.0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B8F9-460F-A669-573967C452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681251840"/>
        <c:axId val="-702801376"/>
      </c:scatterChart>
      <c:valAx>
        <c:axId val="-825898704"/>
        <c:scaling>
          <c:orientation val="minMax"/>
          <c:max val="1.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DURATA</a:t>
                </a:r>
                <a:r>
                  <a:rPr lang="it-IT" baseline="0"/>
                  <a:t> %</a:t>
                </a:r>
                <a:endParaRPr lang="it-IT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744005952"/>
        <c:crosses val="autoZero"/>
        <c:crossBetween val="midCat"/>
      </c:valAx>
      <c:valAx>
        <c:axId val="-74400595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PORTATA</a:t>
                </a:r>
                <a:r>
                  <a:rPr lang="it-IT" baseline="0"/>
                  <a:t> [m3/s]</a:t>
                </a:r>
                <a:endParaRPr lang="it-IT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825898704"/>
        <c:crosses val="autoZero"/>
        <c:crossBetween val="midCat"/>
      </c:valAx>
      <c:valAx>
        <c:axId val="-702801376"/>
        <c:scaling>
          <c:orientation val="minMax"/>
          <c:min val="0.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POTENZA</a:t>
                </a:r>
                <a:r>
                  <a:rPr lang="it-IT" baseline="0"/>
                  <a:t> [kW]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681251840"/>
        <c:crosses val="max"/>
        <c:crossBetween val="midCat"/>
      </c:valAx>
      <c:valAx>
        <c:axId val="-681251840"/>
        <c:scaling>
          <c:orientation val="minMax"/>
        </c:scaling>
        <c:delete val="1"/>
        <c:axPos val="b"/>
        <c:numFmt formatCode="0%" sourceLinked="0"/>
        <c:majorTickMark val="out"/>
        <c:minorTickMark val="none"/>
        <c:tickLblPos val="nextTo"/>
        <c:crossAx val="-702801376"/>
        <c:crossesAt val="0.0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solidFill>
                  <a:srgbClr val="FF0000"/>
                </a:solidFill>
                <a:effectLst/>
              </a:rPr>
              <a:t>CONTRIBUTO ENERGETICO DI OGNI CLASSE DI DURATA</a:t>
            </a:r>
            <a:endParaRPr lang="it-IT" sz="1200">
              <a:solidFill>
                <a:srgbClr val="FF0000"/>
              </a:solidFill>
              <a:effectLst/>
            </a:endParaRPr>
          </a:p>
        </c:rich>
      </c:tx>
      <c:layout/>
      <c:overlay val="0"/>
      <c:spPr>
        <a:noFill/>
        <a:ln>
          <a:solidFill>
            <a:srgbClr val="FF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'Valutazione Potenziale'!$G$20</c:f>
              <c:strCache>
                <c:ptCount val="1"/>
                <c:pt idx="0">
                  <c:v>Eclasse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'Valutazione Potenziale'!$C$22:$C$41</c:f>
              <c:numCache>
                <c:formatCode>0%</c:formatCode>
                <c:ptCount val="20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0.4</c:v>
                </c:pt>
                <c:pt idx="8">
                  <c:v>0.45</c:v>
                </c:pt>
                <c:pt idx="9">
                  <c:v>0.5</c:v>
                </c:pt>
                <c:pt idx="10">
                  <c:v>0.55</c:v>
                </c:pt>
                <c:pt idx="11">
                  <c:v>0.6</c:v>
                </c:pt>
                <c:pt idx="12">
                  <c:v>0.65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</c:v>
                </c:pt>
                <c:pt idx="17">
                  <c:v>0.9</c:v>
                </c:pt>
                <c:pt idx="18">
                  <c:v>0.95</c:v>
                </c:pt>
                <c:pt idx="19">
                  <c:v>1.0</c:v>
                </c:pt>
              </c:numCache>
            </c:numRef>
          </c:cat>
          <c:val>
            <c:numRef>
              <c:f>'Valutazione Potenziale'!$G$21:$G$41</c:f>
              <c:numCache>
                <c:formatCode>0</c:formatCode>
                <c:ptCount val="21"/>
                <c:pt idx="0">
                  <c:v>673.3723258074185</c:v>
                </c:pt>
                <c:pt idx="1">
                  <c:v>673.3723258074185</c:v>
                </c:pt>
                <c:pt idx="2">
                  <c:v>682.3337324929972</c:v>
                </c:pt>
                <c:pt idx="3">
                  <c:v>684.9933273962841</c:v>
                </c:pt>
                <c:pt idx="4">
                  <c:v>662.047346182748</c:v>
                </c:pt>
                <c:pt idx="5">
                  <c:v>624.8439359207611</c:v>
                </c:pt>
                <c:pt idx="6">
                  <c:v>584.3518570365212</c:v>
                </c:pt>
                <c:pt idx="7">
                  <c:v>539.801015057528</c:v>
                </c:pt>
                <c:pt idx="8">
                  <c:v>492.6527467980218</c:v>
                </c:pt>
                <c:pt idx="9">
                  <c:v>444.7135336051575</c:v>
                </c:pt>
                <c:pt idx="10">
                  <c:v>390.4686639999217</c:v>
                </c:pt>
                <c:pt idx="11">
                  <c:v>330.4985378285908</c:v>
                </c:pt>
                <c:pt idx="12">
                  <c:v>268.7476676027952</c:v>
                </c:pt>
                <c:pt idx="13">
                  <c:v>206.8491279589039</c:v>
                </c:pt>
                <c:pt idx="14">
                  <c:v>144.7675617591444</c:v>
                </c:pt>
                <c:pt idx="15">
                  <c:v>81.01287766143211</c:v>
                </c:pt>
                <c:pt idx="16">
                  <c:v>27.34159485274328</c:v>
                </c:pt>
                <c:pt idx="17">
                  <c:v>4.627371420719439</c:v>
                </c:pt>
                <c:pt idx="18">
                  <c:v>0.290788827626564</c:v>
                </c:pt>
                <c:pt idx="19">
                  <c:v>0.0</c:v>
                </c:pt>
                <c:pt idx="20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680927232"/>
        <c:axId val="-680608976"/>
      </c:barChart>
      <c:catAx>
        <c:axId val="-680927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DURATA  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680608976"/>
        <c:crosses val="autoZero"/>
        <c:auto val="1"/>
        <c:lblAlgn val="ctr"/>
        <c:lblOffset val="100"/>
        <c:noMultiLvlLbl val="0"/>
      </c:catAx>
      <c:valAx>
        <c:axId val="-680608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Eclasse</a:t>
                </a:r>
                <a:r>
                  <a:rPr lang="it-IT" baseline="0"/>
                  <a:t>  [MW/h]</a:t>
                </a:r>
                <a:endParaRPr lang="it-IT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68092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800">
                <a:solidFill>
                  <a:srgbClr val="FF0000"/>
                </a:solidFill>
              </a:rPr>
              <a:t>COSTI</a:t>
            </a:r>
            <a:r>
              <a:rPr lang="it-IT" sz="1800" baseline="0">
                <a:solidFill>
                  <a:srgbClr val="FF0000"/>
                </a:solidFill>
              </a:rPr>
              <a:t> E RICAVI ANNUI</a:t>
            </a:r>
            <a:endParaRPr lang="it-IT" sz="1800">
              <a:solidFill>
                <a:srgbClr val="FF0000"/>
              </a:solidFill>
            </a:endParaRPr>
          </a:p>
        </c:rich>
      </c:tx>
      <c:layout/>
      <c:overlay val="0"/>
      <c:spPr>
        <a:noFill/>
        <a:ln>
          <a:solidFill>
            <a:srgbClr val="FF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'Analisi Finanziaria'!$D$43</c:f>
              <c:strCache>
                <c:ptCount val="1"/>
                <c:pt idx="0">
                  <c:v>COSTI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'Analisi Finanziaria'!$C$44:$C$74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'Analisi Finanziaria'!$D$44:$D$74</c:f>
              <c:numCache>
                <c:formatCode>#,##0\ "€"</c:formatCode>
                <c:ptCount val="31"/>
                <c:pt idx="0">
                  <c:v>-2.73875495294485E6</c:v>
                </c:pt>
                <c:pt idx="1">
                  <c:v>-143683.8798649018</c:v>
                </c:pt>
                <c:pt idx="2">
                  <c:v>-143683.8798649018</c:v>
                </c:pt>
                <c:pt idx="3">
                  <c:v>-143683.8798649018</c:v>
                </c:pt>
                <c:pt idx="4">
                  <c:v>-143683.8798649018</c:v>
                </c:pt>
                <c:pt idx="5">
                  <c:v>-143683.8798649018</c:v>
                </c:pt>
                <c:pt idx="6">
                  <c:v>-143683.8798649018</c:v>
                </c:pt>
                <c:pt idx="7">
                  <c:v>-143683.8798649018</c:v>
                </c:pt>
                <c:pt idx="8">
                  <c:v>-143683.8798649018</c:v>
                </c:pt>
                <c:pt idx="9">
                  <c:v>-143683.8798649018</c:v>
                </c:pt>
                <c:pt idx="10">
                  <c:v>-143683.8798649018</c:v>
                </c:pt>
                <c:pt idx="11">
                  <c:v>-143683.8798649018</c:v>
                </c:pt>
                <c:pt idx="12">
                  <c:v>-143683.8798649018</c:v>
                </c:pt>
                <c:pt idx="13">
                  <c:v>-143683.8798649018</c:v>
                </c:pt>
                <c:pt idx="14">
                  <c:v>-143683.8798649018</c:v>
                </c:pt>
                <c:pt idx="15">
                  <c:v>-143683.8798649018</c:v>
                </c:pt>
                <c:pt idx="16">
                  <c:v>-143683.8798649018</c:v>
                </c:pt>
                <c:pt idx="17">
                  <c:v>-143683.8798649018</c:v>
                </c:pt>
                <c:pt idx="18">
                  <c:v>-143683.8798649018</c:v>
                </c:pt>
                <c:pt idx="19">
                  <c:v>-143683.8798649018</c:v>
                </c:pt>
                <c:pt idx="20">
                  <c:v>-143683.8798649018</c:v>
                </c:pt>
                <c:pt idx="21">
                  <c:v>-143683.8798649018</c:v>
                </c:pt>
                <c:pt idx="22">
                  <c:v>-143683.8798649018</c:v>
                </c:pt>
                <c:pt idx="23">
                  <c:v>-143683.8798649018</c:v>
                </c:pt>
                <c:pt idx="24">
                  <c:v>-143683.8798649018</c:v>
                </c:pt>
                <c:pt idx="25">
                  <c:v>-143683.8798649018</c:v>
                </c:pt>
                <c:pt idx="26">
                  <c:v>-143683.8798649018</c:v>
                </c:pt>
                <c:pt idx="27">
                  <c:v>-143683.8798649018</c:v>
                </c:pt>
                <c:pt idx="28">
                  <c:v>-143683.8798649018</c:v>
                </c:pt>
                <c:pt idx="29">
                  <c:v>-143683.8798649018</c:v>
                </c:pt>
                <c:pt idx="30">
                  <c:v>-143683.8798649018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48E-4DCC-BBB9-077EB322C6C5}"/>
            </c:ext>
          </c:extLst>
        </c:ser>
        <c:ser>
          <c:idx val="1"/>
          <c:order val="1"/>
          <c:tx>
            <c:strRef>
              <c:f>'Analisi Finanziaria'!$E$43</c:f>
              <c:strCache>
                <c:ptCount val="1"/>
                <c:pt idx="0">
                  <c:v>RICAVI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'Analisi Finanziaria'!$C$44:$C$74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'Analisi Finanziaria'!$E$44:$E$74</c:f>
              <c:numCache>
                <c:formatCode>#,##0\ "€"</c:formatCode>
                <c:ptCount val="31"/>
                <c:pt idx="0" formatCode="General">
                  <c:v>0.0</c:v>
                </c:pt>
                <c:pt idx="1">
                  <c:v>660432.3092739267</c:v>
                </c:pt>
                <c:pt idx="2">
                  <c:v>660432.3092739267</c:v>
                </c:pt>
                <c:pt idx="3">
                  <c:v>660432.3092739267</c:v>
                </c:pt>
                <c:pt idx="4">
                  <c:v>660432.3092739267</c:v>
                </c:pt>
                <c:pt idx="5">
                  <c:v>660432.3092739267</c:v>
                </c:pt>
                <c:pt idx="6">
                  <c:v>660432.3092739267</c:v>
                </c:pt>
                <c:pt idx="7">
                  <c:v>660432.3092739267</c:v>
                </c:pt>
                <c:pt idx="8">
                  <c:v>660432.3092739267</c:v>
                </c:pt>
                <c:pt idx="9">
                  <c:v>660432.3092739267</c:v>
                </c:pt>
                <c:pt idx="10">
                  <c:v>660432.3092739267</c:v>
                </c:pt>
                <c:pt idx="11">
                  <c:v>660432.3092739267</c:v>
                </c:pt>
                <c:pt idx="12">
                  <c:v>660432.3092739267</c:v>
                </c:pt>
                <c:pt idx="13">
                  <c:v>660432.3092739267</c:v>
                </c:pt>
                <c:pt idx="14">
                  <c:v>660432.3092739267</c:v>
                </c:pt>
                <c:pt idx="15">
                  <c:v>660432.3092739267</c:v>
                </c:pt>
                <c:pt idx="16">
                  <c:v>660432.3092739267</c:v>
                </c:pt>
                <c:pt idx="17">
                  <c:v>660432.3092739267</c:v>
                </c:pt>
                <c:pt idx="18">
                  <c:v>660432.3092739267</c:v>
                </c:pt>
                <c:pt idx="19">
                  <c:v>660432.3092739267</c:v>
                </c:pt>
                <c:pt idx="20">
                  <c:v>660432.3092739267</c:v>
                </c:pt>
                <c:pt idx="21">
                  <c:v>660432.3092739267</c:v>
                </c:pt>
                <c:pt idx="22">
                  <c:v>660432.3092739267</c:v>
                </c:pt>
                <c:pt idx="23">
                  <c:v>660432.3092739267</c:v>
                </c:pt>
                <c:pt idx="24">
                  <c:v>660432.3092739267</c:v>
                </c:pt>
                <c:pt idx="25">
                  <c:v>660432.3092739267</c:v>
                </c:pt>
                <c:pt idx="26">
                  <c:v>660432.3092739267</c:v>
                </c:pt>
                <c:pt idx="27">
                  <c:v>660432.3092739267</c:v>
                </c:pt>
                <c:pt idx="28">
                  <c:v>660432.3092739267</c:v>
                </c:pt>
                <c:pt idx="29">
                  <c:v>660432.3092739267</c:v>
                </c:pt>
                <c:pt idx="30">
                  <c:v>660432.3092739267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48E-4DCC-BBB9-077EB322C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702664720"/>
        <c:axId val="-738297552"/>
      </c:barChart>
      <c:catAx>
        <c:axId val="-7026647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ANNI</a:t>
                </a:r>
              </a:p>
            </c:rich>
          </c:tx>
          <c:layout>
            <c:manualLayout>
              <c:xMode val="edge"/>
              <c:yMode val="edge"/>
              <c:x val="0.509278106315549"/>
              <c:y val="0.3936442275701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738297552"/>
        <c:crosses val="autoZero"/>
        <c:auto val="1"/>
        <c:lblAlgn val="ctr"/>
        <c:lblOffset val="100"/>
        <c:noMultiLvlLbl val="0"/>
      </c:catAx>
      <c:valAx>
        <c:axId val="-738297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COSTI</a:t>
                </a:r>
                <a:r>
                  <a:rPr lang="it-IT" baseline="0"/>
                  <a:t> E RICAVI</a:t>
                </a:r>
              </a:p>
            </c:rich>
          </c:tx>
          <c:layout>
            <c:manualLayout>
              <c:xMode val="edge"/>
              <c:yMode val="edge"/>
              <c:x val="0.020746887966805"/>
              <c:y val="0.2117605633802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#,##0\ &quot;€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702664720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Radio" checked="Checked" firstButton="1" fmlaLink="$K$26" lockText="1" noThreeD="1"/>
</file>

<file path=xl/ctrlProps/ctrlProp11.xml><?xml version="1.0" encoding="utf-8"?>
<formControlPr xmlns="http://schemas.microsoft.com/office/spreadsheetml/2009/9/main" objectType="Radio" lockText="1"/>
</file>

<file path=xl/ctrlProps/ctrlProp2.xml><?xml version="1.0" encoding="utf-8"?>
<formControlPr xmlns="http://schemas.microsoft.com/office/spreadsheetml/2009/9/main" objectType="Radio" checked="Checked" firstButton="1" fmlaLink="$O$34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Radio" firstButton="1" fmlaLink="$K$66" lockText="1" noThreeD="1"/>
</file>

<file path=xl/ctrlProps/ctrlProp7.xml><?xml version="1.0" encoding="utf-8"?>
<formControlPr xmlns="http://schemas.microsoft.com/office/spreadsheetml/2009/9/main" objectType="Radio" checked="Checked" lockText="1" noThreeD="1"/>
</file>

<file path=xl/ctrlProps/ctrlProp8.xml><?xml version="1.0" encoding="utf-8"?>
<formControlPr xmlns="http://schemas.microsoft.com/office/spreadsheetml/2009/9/main" objectType="Drop" dropLines="49" dropStyle="combo" dx="16" fmlaLink="$K$67" fmlaRange="$C$42:$C$62" sel="4" val="0"/>
</file>

<file path=xl/ctrlProps/ctrlProp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Relationship Id="rId2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Relationship Id="rId2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Relationship Id="rId2" Type="http://schemas.openxmlformats.org/officeDocument/2006/relationships/chart" Target="../charts/chart10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12700</xdr:colOff>
      <xdr:row>3</xdr:row>
      <xdr:rowOff>12699</xdr:rowOff>
    </xdr:from>
    <xdr:to>
      <xdr:col>13</xdr:col>
      <xdr:colOff>1987</xdr:colOff>
      <xdr:row>32</xdr:row>
      <xdr:rowOff>161568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5954" y="621397"/>
          <a:ext cx="9082187" cy="6032952"/>
        </a:xfrm>
        <a:prstGeom prst="rect">
          <a:avLst/>
        </a:prstGeom>
      </xdr:spPr>
    </xdr:pic>
    <xdr:clientData/>
  </xdr:twoCellAnchor>
  <xdr:twoCellAnchor editAs="oneCell">
    <xdr:from>
      <xdr:col>11</xdr:col>
      <xdr:colOff>171312</xdr:colOff>
      <xdr:row>24</xdr:row>
      <xdr:rowOff>177800</xdr:rowOff>
    </xdr:from>
    <xdr:to>
      <xdr:col>13</xdr:col>
      <xdr:colOff>7652</xdr:colOff>
      <xdr:row>32</xdr:row>
      <xdr:rowOff>165100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64211" y="5047386"/>
          <a:ext cx="1489595" cy="16104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</xdr:colOff>
      <xdr:row>6</xdr:row>
      <xdr:rowOff>12700</xdr:rowOff>
    </xdr:from>
    <xdr:to>
      <xdr:col>16</xdr:col>
      <xdr:colOff>0</xdr:colOff>
      <xdr:row>28</xdr:row>
      <xdr:rowOff>38100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32</xdr:row>
          <xdr:rowOff>203200</xdr:rowOff>
        </xdr:from>
        <xdr:to>
          <xdr:col>12</xdr:col>
          <xdr:colOff>812800</xdr:colOff>
          <xdr:row>35</xdr:row>
          <xdr:rowOff>12700</xdr:rowOff>
        </xdr:to>
        <xdr:sp macro="" textlink="">
          <xdr:nvSpPr>
            <xdr:cNvPr id="1025" name="Group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32</xdr:row>
          <xdr:rowOff>203200</xdr:rowOff>
        </xdr:from>
        <xdr:to>
          <xdr:col>5</xdr:col>
          <xdr:colOff>25400</xdr:colOff>
          <xdr:row>34</xdr:row>
          <xdr:rowOff>12700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241300</xdr:colOff>
          <xdr:row>32</xdr:row>
          <xdr:rowOff>203200</xdr:rowOff>
        </xdr:from>
        <xdr:to>
          <xdr:col>7</xdr:col>
          <xdr:colOff>635000</xdr:colOff>
          <xdr:row>34</xdr:row>
          <xdr:rowOff>12700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7</xdr:col>
      <xdr:colOff>12700</xdr:colOff>
      <xdr:row>40</xdr:row>
      <xdr:rowOff>25400</xdr:rowOff>
    </xdr:from>
    <xdr:to>
      <xdr:col>16</xdr:col>
      <xdr:colOff>12700</xdr:colOff>
      <xdr:row>62</xdr:row>
      <xdr:rowOff>12700</xdr:rowOff>
    </xdr:to>
    <xdr:graphicFrame macro="">
      <xdr:nvGraphicFramePr>
        <xdr:cNvPr id="7" name="Gra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279400</xdr:colOff>
          <xdr:row>33</xdr:row>
          <xdr:rowOff>0</xdr:rowOff>
        </xdr:from>
        <xdr:to>
          <xdr:col>11</xdr:col>
          <xdr:colOff>673100</xdr:colOff>
          <xdr:row>34</xdr:row>
          <xdr:rowOff>25400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65</xdr:row>
          <xdr:rowOff>0</xdr:rowOff>
        </xdr:from>
        <xdr:to>
          <xdr:col>8</xdr:col>
          <xdr:colOff>800100</xdr:colOff>
          <xdr:row>67</xdr:row>
          <xdr:rowOff>0</xdr:rowOff>
        </xdr:to>
        <xdr:sp macro="" textlink="">
          <xdr:nvSpPr>
            <xdr:cNvPr id="1033" name="Group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64</xdr:row>
          <xdr:rowOff>203200</xdr:rowOff>
        </xdr:from>
        <xdr:to>
          <xdr:col>4</xdr:col>
          <xdr:colOff>673100</xdr:colOff>
          <xdr:row>66</xdr:row>
          <xdr:rowOff>12700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241300</xdr:colOff>
          <xdr:row>64</xdr:row>
          <xdr:rowOff>203200</xdr:rowOff>
        </xdr:from>
        <xdr:to>
          <xdr:col>7</xdr:col>
          <xdr:colOff>812800</xdr:colOff>
          <xdr:row>66</xdr:row>
          <xdr:rowOff>12700</xdr:rowOff>
        </xdr:to>
        <xdr:sp macro="" textlink=""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825500</xdr:colOff>
          <xdr:row>66</xdr:row>
          <xdr:rowOff>0</xdr:rowOff>
        </xdr:from>
        <xdr:to>
          <xdr:col>8</xdr:col>
          <xdr:colOff>0</xdr:colOff>
          <xdr:row>67</xdr:row>
          <xdr:rowOff>12700</xdr:rowOff>
        </xdr:to>
        <xdr:sp macro="" textlink="">
          <xdr:nvSpPr>
            <xdr:cNvPr id="1039" name="Drop Down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6</xdr:col>
      <xdr:colOff>19050</xdr:colOff>
      <xdr:row>72</xdr:row>
      <xdr:rowOff>12700</xdr:rowOff>
    </xdr:from>
    <xdr:to>
      <xdr:col>15</xdr:col>
      <xdr:colOff>815075</xdr:colOff>
      <xdr:row>94</xdr:row>
      <xdr:rowOff>12700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15300</xdr:colOff>
      <xdr:row>147</xdr:row>
      <xdr:rowOff>198915</xdr:rowOff>
    </xdr:from>
    <xdr:to>
      <xdr:col>16</xdr:col>
      <xdr:colOff>0</xdr:colOff>
      <xdr:row>173</xdr:row>
      <xdr:rowOff>91807</xdr:rowOff>
    </xdr:to>
    <xdr:graphicFrame macro="">
      <xdr:nvGraphicFramePr>
        <xdr:cNvPr id="5" name="Gra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13</xdr:row>
      <xdr:rowOff>63499</xdr:rowOff>
    </xdr:from>
    <xdr:to>
      <xdr:col>6</xdr:col>
      <xdr:colOff>571500</xdr:colOff>
      <xdr:row>13</xdr:row>
      <xdr:rowOff>165100</xdr:rowOff>
    </xdr:to>
    <xdr:sp macro="" textlink="">
      <xdr:nvSpPr>
        <xdr:cNvPr id="5" name="Freccia destra 4"/>
        <xdr:cNvSpPr/>
      </xdr:nvSpPr>
      <xdr:spPr>
        <a:xfrm>
          <a:off x="3733800" y="2908299"/>
          <a:ext cx="304800" cy="101601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11</xdr:row>
      <xdr:rowOff>12700</xdr:rowOff>
    </xdr:from>
    <xdr:to>
      <xdr:col>13</xdr:col>
      <xdr:colOff>12700</xdr:colOff>
      <xdr:row>42</xdr:row>
      <xdr:rowOff>127000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821268</xdr:colOff>
      <xdr:row>79</xdr:row>
      <xdr:rowOff>0</xdr:rowOff>
    </xdr:from>
    <xdr:to>
      <xdr:col>12</xdr:col>
      <xdr:colOff>812801</xdr:colOff>
      <xdr:row>99</xdr:row>
      <xdr:rowOff>16934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118533</xdr:colOff>
      <xdr:row>106</xdr:row>
      <xdr:rowOff>89749</xdr:rowOff>
    </xdr:from>
    <xdr:to>
      <xdr:col>8</xdr:col>
      <xdr:colOff>558800</xdr:colOff>
      <xdr:row>106</xdr:row>
      <xdr:rowOff>220135</xdr:rowOff>
    </xdr:to>
    <xdr:sp macro="" textlink="">
      <xdr:nvSpPr>
        <xdr:cNvPr id="4" name="Freccia sinistra 3"/>
        <xdr:cNvSpPr/>
      </xdr:nvSpPr>
      <xdr:spPr>
        <a:xfrm>
          <a:off x="3826933" y="17107749"/>
          <a:ext cx="440267" cy="130386"/>
        </a:xfrm>
        <a:prstGeom prst="left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0.83366</cdr:x>
      <cdr:y>0.07723</cdr:y>
    </cdr:from>
    <cdr:to>
      <cdr:x>0.98614</cdr:x>
      <cdr:y>0.38086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7128934" y="495298"/>
          <a:ext cx="1303866" cy="1947335"/>
        </a:xfrm>
        <a:prstGeom xmlns:a="http://schemas.openxmlformats.org/drawingml/2006/main" prst="rect">
          <a:avLst/>
        </a:prstGeom>
        <a:gradFill xmlns:a="http://schemas.openxmlformats.org/drawingml/2006/main" flip="none" rotWithShape="1">
          <a:gsLst>
            <a:gs pos="0">
              <a:schemeClr val="accent1">
                <a:lumMod val="0"/>
                <a:lumOff val="100000"/>
              </a:schemeClr>
            </a:gs>
            <a:gs pos="35000">
              <a:schemeClr val="accent1">
                <a:lumMod val="0"/>
                <a:lumOff val="100000"/>
              </a:schemeClr>
            </a:gs>
            <a:gs pos="100000">
              <a:schemeClr val="bg2">
                <a:lumMod val="90000"/>
              </a:schemeClr>
            </a:gs>
          </a:gsLst>
          <a:path path="circle">
            <a:fillToRect l="50000" t="-80000" r="50000" b="180000"/>
          </a:path>
          <a:tileRect/>
        </a:gra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it-IT" sz="1600" b="1">
              <a:solidFill>
                <a:srgbClr val="0070C0"/>
              </a:solidFill>
            </a:rPr>
            <a:t>PELTON</a:t>
          </a:r>
        </a:p>
        <a:p xmlns:a="http://schemas.openxmlformats.org/drawingml/2006/main">
          <a:pPr algn="ctr"/>
          <a:endParaRPr lang="it-IT" sz="1600"/>
        </a:p>
        <a:p xmlns:a="http://schemas.openxmlformats.org/drawingml/2006/main">
          <a:pPr algn="ctr"/>
          <a:r>
            <a:rPr lang="it-IT" sz="1600" b="1">
              <a:solidFill>
                <a:srgbClr val="FF0000"/>
              </a:solidFill>
            </a:rPr>
            <a:t>CROSSFLOW</a:t>
          </a:r>
          <a:r>
            <a:rPr lang="it-IT" sz="1600" baseline="0"/>
            <a:t> </a:t>
          </a:r>
        </a:p>
        <a:p xmlns:a="http://schemas.openxmlformats.org/drawingml/2006/main">
          <a:pPr algn="ctr"/>
          <a:endParaRPr lang="it-IT" sz="1600" baseline="0"/>
        </a:p>
        <a:p xmlns:a="http://schemas.openxmlformats.org/drawingml/2006/main">
          <a:pPr algn="ctr"/>
          <a:r>
            <a:rPr lang="it-IT" sz="1600" b="1" baseline="0">
              <a:solidFill>
                <a:srgbClr val="00B050"/>
              </a:solidFill>
            </a:rPr>
            <a:t>FRANCIS</a:t>
          </a:r>
        </a:p>
        <a:p xmlns:a="http://schemas.openxmlformats.org/drawingml/2006/main">
          <a:pPr algn="ctr"/>
          <a:endParaRPr lang="it-IT" sz="1600" baseline="0"/>
        </a:p>
        <a:p xmlns:a="http://schemas.openxmlformats.org/drawingml/2006/main">
          <a:pPr algn="ctr"/>
          <a:r>
            <a:rPr lang="it-IT" sz="1600" b="1" baseline="0">
              <a:solidFill>
                <a:srgbClr val="FFFF00"/>
              </a:solidFill>
            </a:rPr>
            <a:t>KAPLAN</a:t>
          </a:r>
          <a:endParaRPr lang="it-IT" sz="1600" b="1">
            <a:solidFill>
              <a:srgbClr val="FFFF00"/>
            </a:solidFill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457200</xdr:colOff>
      <xdr:row>19</xdr:row>
      <xdr:rowOff>12700</xdr:rowOff>
    </xdr:from>
    <xdr:to>
      <xdr:col>19</xdr:col>
      <xdr:colOff>0</xdr:colOff>
      <xdr:row>40</xdr:row>
      <xdr:rowOff>190500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50800</xdr:colOff>
      <xdr:row>42</xdr:row>
      <xdr:rowOff>19050</xdr:rowOff>
    </xdr:from>
    <xdr:to>
      <xdr:col>16</xdr:col>
      <xdr:colOff>571500</xdr:colOff>
      <xdr:row>59</xdr:row>
      <xdr:rowOff>139700</xdr:rowOff>
    </xdr:to>
    <xdr:graphicFrame macro="">
      <xdr:nvGraphicFramePr>
        <xdr:cNvPr id="7" name="Gra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9</xdr:row>
      <xdr:rowOff>12700</xdr:rowOff>
    </xdr:from>
    <xdr:to>
      <xdr:col>8</xdr:col>
      <xdr:colOff>1130300</xdr:colOff>
      <xdr:row>10</xdr:row>
      <xdr:rowOff>0</xdr:rowOff>
    </xdr:to>
    <xdr:sp macro="" textlink="">
      <xdr:nvSpPr>
        <xdr:cNvPr id="2" name="Freccia destra 1"/>
        <xdr:cNvSpPr/>
      </xdr:nvSpPr>
      <xdr:spPr>
        <a:xfrm>
          <a:off x="6845300" y="2057400"/>
          <a:ext cx="863600" cy="266700"/>
        </a:xfrm>
        <a:prstGeom prst="rightArrow">
          <a:avLst/>
        </a:prstGeom>
        <a:solidFill>
          <a:schemeClr val="tx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6</xdr:col>
      <xdr:colOff>190500</xdr:colOff>
      <xdr:row>104</xdr:row>
      <xdr:rowOff>0</xdr:rowOff>
    </xdr:from>
    <xdr:to>
      <xdr:col>6</xdr:col>
      <xdr:colOff>965200</xdr:colOff>
      <xdr:row>105</xdr:row>
      <xdr:rowOff>12700</xdr:rowOff>
    </xdr:to>
    <xdr:sp macro="" textlink="">
      <xdr:nvSpPr>
        <xdr:cNvPr id="3" name="Freccia destra 2"/>
        <xdr:cNvSpPr/>
      </xdr:nvSpPr>
      <xdr:spPr>
        <a:xfrm>
          <a:off x="4838700" y="22326600"/>
          <a:ext cx="774700" cy="254000"/>
        </a:xfrm>
        <a:prstGeom prst="rightArrow">
          <a:avLst/>
        </a:prstGeom>
        <a:solidFill>
          <a:schemeClr val="tx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6</xdr:col>
      <xdr:colOff>190500</xdr:colOff>
      <xdr:row>113</xdr:row>
      <xdr:rowOff>0</xdr:rowOff>
    </xdr:from>
    <xdr:to>
      <xdr:col>6</xdr:col>
      <xdr:colOff>965200</xdr:colOff>
      <xdr:row>114</xdr:row>
      <xdr:rowOff>12700</xdr:rowOff>
    </xdr:to>
    <xdr:sp macro="" textlink="">
      <xdr:nvSpPr>
        <xdr:cNvPr id="4" name="Freccia destra 3"/>
        <xdr:cNvSpPr/>
      </xdr:nvSpPr>
      <xdr:spPr>
        <a:xfrm>
          <a:off x="4838700" y="22326600"/>
          <a:ext cx="774700" cy="266700"/>
        </a:xfrm>
        <a:prstGeom prst="rightArrow">
          <a:avLst/>
        </a:prstGeom>
        <a:solidFill>
          <a:schemeClr val="tx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24</xdr:row>
          <xdr:rowOff>63500</xdr:rowOff>
        </xdr:from>
        <xdr:to>
          <xdr:col>9</xdr:col>
          <xdr:colOff>0</xdr:colOff>
          <xdr:row>27</xdr:row>
          <xdr:rowOff>50800</xdr:rowOff>
        </xdr:to>
        <xdr:sp macro="" textlink="">
          <xdr:nvSpPr>
            <xdr:cNvPr id="6152" name="Group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241300</xdr:colOff>
          <xdr:row>24</xdr:row>
          <xdr:rowOff>177800</xdr:rowOff>
        </xdr:from>
        <xdr:to>
          <xdr:col>3</xdr:col>
          <xdr:colOff>0</xdr:colOff>
          <xdr:row>26</xdr:row>
          <xdr:rowOff>38100</xdr:rowOff>
        </xdr:to>
        <xdr:sp macro="" textlink="">
          <xdr:nvSpPr>
            <xdr:cNvPr id="6153" name="Option Button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254000</xdr:colOff>
          <xdr:row>24</xdr:row>
          <xdr:rowOff>177800</xdr:rowOff>
        </xdr:from>
        <xdr:to>
          <xdr:col>6</xdr:col>
          <xdr:colOff>812800</xdr:colOff>
          <xdr:row>26</xdr:row>
          <xdr:rowOff>25400</xdr:rowOff>
        </xdr:to>
        <xdr:sp macro="" textlink="">
          <xdr:nvSpPr>
            <xdr:cNvPr id="6155" name="Option Button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2</xdr:col>
      <xdr:colOff>17852</xdr:colOff>
      <xdr:row>75</xdr:row>
      <xdr:rowOff>15279</xdr:rowOff>
    </xdr:from>
    <xdr:to>
      <xdr:col>10</xdr:col>
      <xdr:colOff>825499</xdr:colOff>
      <xdr:row>93</xdr:row>
      <xdr:rowOff>12700</xdr:rowOff>
    </xdr:to>
    <xdr:graphicFrame macro="">
      <xdr:nvGraphicFramePr>
        <xdr:cNvPr id="15" name="Grafico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12700</xdr:colOff>
      <xdr:row>137</xdr:row>
      <xdr:rowOff>190500</xdr:rowOff>
    </xdr:from>
    <xdr:to>
      <xdr:col>10</xdr:col>
      <xdr:colOff>812800</xdr:colOff>
      <xdr:row>156</xdr:row>
      <xdr:rowOff>190500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4" Type="http://schemas.openxmlformats.org/officeDocument/2006/relationships/ctrlProp" Target="../ctrlProps/ctrlProp2.xml"/><Relationship Id="rId5" Type="http://schemas.openxmlformats.org/officeDocument/2006/relationships/ctrlProp" Target="../ctrlProps/ctrlProp3.xml"/><Relationship Id="rId6" Type="http://schemas.openxmlformats.org/officeDocument/2006/relationships/ctrlProp" Target="../ctrlProps/ctrlProp4.xml"/><Relationship Id="rId7" Type="http://schemas.openxmlformats.org/officeDocument/2006/relationships/ctrlProp" Target="../ctrlProps/ctrlProp5.xml"/><Relationship Id="rId8" Type="http://schemas.openxmlformats.org/officeDocument/2006/relationships/ctrlProp" Target="../ctrlProps/ctrlProp6.xml"/><Relationship Id="rId9" Type="http://schemas.openxmlformats.org/officeDocument/2006/relationships/ctrlProp" Target="../ctrlProps/ctrlProp7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4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9.xml"/><Relationship Id="rId4" Type="http://schemas.openxmlformats.org/officeDocument/2006/relationships/ctrlProp" Target="../ctrlProps/ctrlProp10.xml"/><Relationship Id="rId5" Type="http://schemas.openxmlformats.org/officeDocument/2006/relationships/ctrlProp" Target="../ctrlProps/ctrlProp11.xml"/><Relationship Id="rId1" Type="http://schemas.openxmlformats.org/officeDocument/2006/relationships/drawing" Target="../drawings/drawing8.xml"/><Relationship Id="rId2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/>
  <dimension ref="A1:O36"/>
  <sheetViews>
    <sheetView showGridLines="0" showRowColHeaders="0" tabSelected="1" workbookViewId="0">
      <selection activeCell="B35" sqref="B35:C35"/>
    </sheetView>
  </sheetViews>
  <sheetFormatPr baseColWidth="10" defaultColWidth="0" defaultRowHeight="16" zeroHeight="1" x14ac:dyDescent="0.2"/>
  <cols>
    <col min="1" max="1" width="3.33203125" style="157" customWidth="1"/>
    <col min="2" max="14" width="10.83203125" style="2" customWidth="1"/>
    <col min="15" max="15" width="3.33203125" style="157" customWidth="1"/>
    <col min="16" max="16384" width="10.83203125" hidden="1"/>
  </cols>
  <sheetData>
    <row r="1" spans="2:14" x14ac:dyDescent="0.2"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2:14" x14ac:dyDescent="0.2">
      <c r="B2" s="162"/>
      <c r="C2" s="80"/>
      <c r="D2" s="80"/>
      <c r="E2" s="80"/>
      <c r="F2" s="80"/>
      <c r="G2" s="80"/>
      <c r="H2" s="170" t="s">
        <v>230</v>
      </c>
      <c r="I2" s="80"/>
      <c r="J2" s="80"/>
      <c r="K2" s="80"/>
      <c r="L2" s="80"/>
      <c r="M2" s="80"/>
      <c r="N2" s="79"/>
    </row>
    <row r="3" spans="2:14" x14ac:dyDescent="0.2">
      <c r="B3" s="156"/>
      <c r="N3" s="163"/>
    </row>
    <row r="4" spans="2:14" x14ac:dyDescent="0.2">
      <c r="B4" s="156"/>
      <c r="N4" s="163"/>
    </row>
    <row r="5" spans="2:14" x14ac:dyDescent="0.2">
      <c r="B5" s="156"/>
      <c r="N5" s="163"/>
    </row>
    <row r="6" spans="2:14" x14ac:dyDescent="0.2">
      <c r="B6" s="156"/>
      <c r="N6" s="163"/>
    </row>
    <row r="7" spans="2:14" x14ac:dyDescent="0.2">
      <c r="B7" s="156"/>
      <c r="N7" s="163"/>
    </row>
    <row r="8" spans="2:14" x14ac:dyDescent="0.2">
      <c r="B8" s="156"/>
      <c r="N8" s="163"/>
    </row>
    <row r="9" spans="2:14" x14ac:dyDescent="0.2">
      <c r="B9" s="156"/>
      <c r="N9" s="163"/>
    </row>
    <row r="10" spans="2:14" x14ac:dyDescent="0.2">
      <c r="B10" s="156"/>
      <c r="N10" s="163"/>
    </row>
    <row r="11" spans="2:14" x14ac:dyDescent="0.2">
      <c r="B11" s="156"/>
      <c r="N11" s="163"/>
    </row>
    <row r="12" spans="2:14" x14ac:dyDescent="0.2">
      <c r="B12" s="156"/>
      <c r="N12" s="163"/>
    </row>
    <row r="13" spans="2:14" x14ac:dyDescent="0.2">
      <c r="B13" s="156"/>
      <c r="N13" s="163"/>
    </row>
    <row r="14" spans="2:14" x14ac:dyDescent="0.2">
      <c r="B14" s="156"/>
      <c r="N14" s="163"/>
    </row>
    <row r="15" spans="2:14" x14ac:dyDescent="0.2">
      <c r="B15" s="156"/>
      <c r="N15" s="163"/>
    </row>
    <row r="16" spans="2:14" x14ac:dyDescent="0.2">
      <c r="B16" s="156"/>
      <c r="N16" s="163"/>
    </row>
    <row r="17" spans="2:14" x14ac:dyDescent="0.2">
      <c r="B17" s="156"/>
      <c r="N17" s="163"/>
    </row>
    <row r="18" spans="2:14" x14ac:dyDescent="0.2">
      <c r="B18" s="156"/>
      <c r="N18" s="163"/>
    </row>
    <row r="19" spans="2:14" x14ac:dyDescent="0.2">
      <c r="B19" s="156"/>
      <c r="N19" s="163"/>
    </row>
    <row r="20" spans="2:14" x14ac:dyDescent="0.2">
      <c r="B20" s="156"/>
      <c r="N20" s="163"/>
    </row>
    <row r="21" spans="2:14" x14ac:dyDescent="0.2">
      <c r="B21" s="156"/>
      <c r="N21" s="163"/>
    </row>
    <row r="22" spans="2:14" x14ac:dyDescent="0.2">
      <c r="B22" s="156"/>
      <c r="N22" s="163"/>
    </row>
    <row r="23" spans="2:14" x14ac:dyDescent="0.2">
      <c r="B23" s="156"/>
      <c r="N23" s="163"/>
    </row>
    <row r="24" spans="2:14" x14ac:dyDescent="0.2">
      <c r="B24" s="156"/>
      <c r="N24" s="163"/>
    </row>
    <row r="25" spans="2:14" x14ac:dyDescent="0.2">
      <c r="B25" s="156"/>
      <c r="N25" s="163"/>
    </row>
    <row r="26" spans="2:14" x14ac:dyDescent="0.2">
      <c r="B26" s="156"/>
      <c r="N26" s="163"/>
    </row>
    <row r="27" spans="2:14" x14ac:dyDescent="0.2">
      <c r="B27" s="156"/>
      <c r="N27" s="163"/>
    </row>
    <row r="28" spans="2:14" x14ac:dyDescent="0.2">
      <c r="B28" s="156"/>
      <c r="N28" s="163"/>
    </row>
    <row r="29" spans="2:14" x14ac:dyDescent="0.2">
      <c r="B29" s="156"/>
      <c r="N29" s="163"/>
    </row>
    <row r="30" spans="2:14" x14ac:dyDescent="0.2">
      <c r="B30" s="156"/>
      <c r="N30" s="163"/>
    </row>
    <row r="31" spans="2:14" x14ac:dyDescent="0.2">
      <c r="B31" s="156"/>
      <c r="N31" s="163"/>
    </row>
    <row r="32" spans="2:14" x14ac:dyDescent="0.2">
      <c r="B32" s="156"/>
      <c r="N32" s="163"/>
    </row>
    <row r="33" spans="2:14" x14ac:dyDescent="0.2">
      <c r="B33" s="156"/>
      <c r="N33" s="163"/>
    </row>
    <row r="34" spans="2:14" x14ac:dyDescent="0.2">
      <c r="B34" s="156"/>
      <c r="N34" s="163"/>
    </row>
    <row r="35" spans="2:14" x14ac:dyDescent="0.2">
      <c r="B35" s="264" t="s">
        <v>231</v>
      </c>
      <c r="C35" s="265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45"/>
    </row>
    <row r="36" spans="2:14" x14ac:dyDescent="0.2"/>
  </sheetData>
  <sheetProtection password="CA6D" sheet="1" objects="1" scenarios="1" selectLockedCells="1"/>
  <mergeCells count="1">
    <mergeCell ref="B35:C35"/>
  </mergeCells>
  <pageMargins left="0.7" right="0.7" top="0.75" bottom="0.75" header="0.3" footer="0.3"/>
  <pageSetup paperSize="9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" enableFormatConditionsCalculation="0"/>
  <dimension ref="A1:R175"/>
  <sheetViews>
    <sheetView showGridLines="0" showRowColHeaders="0" workbookViewId="0">
      <selection activeCell="D8" sqref="D8"/>
    </sheetView>
  </sheetViews>
  <sheetFormatPr baseColWidth="10" defaultColWidth="0" defaultRowHeight="16" zeroHeight="1" x14ac:dyDescent="0.2"/>
  <cols>
    <col min="1" max="1" width="3.33203125" style="159" customWidth="1"/>
    <col min="2" max="2" width="3.33203125" customWidth="1"/>
    <col min="3" max="3" width="14.6640625" customWidth="1"/>
    <col min="4" max="4" width="14.33203125" customWidth="1"/>
    <col min="5" max="7" width="10.83203125" customWidth="1"/>
    <col min="8" max="8" width="12" bestFit="1" customWidth="1"/>
    <col min="9" max="9" width="10.83203125" customWidth="1"/>
    <col min="10" max="10" width="12" customWidth="1"/>
    <col min="11" max="15" width="10.83203125" customWidth="1"/>
    <col min="16" max="16" width="10.83203125" style="2" customWidth="1"/>
    <col min="17" max="17" width="3.33203125" style="159" customWidth="1"/>
    <col min="18" max="18" width="3.33203125" customWidth="1"/>
    <col min="19" max="16384" width="10.83203125" hidden="1"/>
  </cols>
  <sheetData>
    <row r="1" spans="1:17" s="159" customFormat="1" x14ac:dyDescent="0.2">
      <c r="P1" s="2"/>
    </row>
    <row r="2" spans="1:17" ht="16" customHeight="1" thickBot="1" x14ac:dyDescent="0.25">
      <c r="B2" s="162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79"/>
    </row>
    <row r="3" spans="1:17" ht="32" thickBot="1" x14ac:dyDescent="0.4">
      <c r="A3" s="2"/>
      <c r="B3" s="158"/>
      <c r="C3" s="2"/>
      <c r="D3" s="2"/>
      <c r="F3" s="10" t="s">
        <v>0</v>
      </c>
      <c r="G3" s="178"/>
      <c r="H3" s="178"/>
      <c r="I3" s="11"/>
      <c r="J3" s="11"/>
      <c r="K3" s="3"/>
      <c r="L3" s="2"/>
      <c r="M3" s="2"/>
      <c r="N3" s="2"/>
      <c r="O3" s="2"/>
      <c r="Q3" s="163"/>
    </row>
    <row r="4" spans="1:17" x14ac:dyDescent="0.2">
      <c r="A4" s="2"/>
      <c r="B4" s="158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Q4" s="163"/>
    </row>
    <row r="5" spans="1:17" ht="24" x14ac:dyDescent="0.3">
      <c r="A5" s="2"/>
      <c r="B5" s="158"/>
      <c r="C5" s="266" t="s">
        <v>1</v>
      </c>
      <c r="D5" s="266"/>
      <c r="E5" s="266"/>
      <c r="F5" s="266"/>
      <c r="G5" s="266"/>
      <c r="H5" s="266"/>
      <c r="I5" s="2"/>
      <c r="J5" s="2"/>
      <c r="K5" s="2"/>
      <c r="L5" s="2"/>
      <c r="M5" s="2"/>
      <c r="N5" s="2"/>
      <c r="O5" s="2"/>
      <c r="Q5" s="163"/>
    </row>
    <row r="6" spans="1:17" ht="17" thickBot="1" x14ac:dyDescent="0.25">
      <c r="B6" s="158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Q6" s="163"/>
    </row>
    <row r="7" spans="1:17" ht="20" thickBot="1" x14ac:dyDescent="0.25">
      <c r="B7" s="158"/>
      <c r="C7" s="179" t="s">
        <v>2</v>
      </c>
      <c r="D7" s="9" t="s">
        <v>239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Q7" s="163"/>
    </row>
    <row r="8" spans="1:17" x14ac:dyDescent="0.2">
      <c r="B8" s="158"/>
      <c r="C8" s="180">
        <v>0</v>
      </c>
      <c r="D8" s="191">
        <v>4.5999999999999996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Q8" s="163"/>
    </row>
    <row r="9" spans="1:17" x14ac:dyDescent="0.2">
      <c r="B9" s="158"/>
      <c r="C9" s="181">
        <v>0.05</v>
      </c>
      <c r="D9" s="192">
        <v>3.35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Q9" s="163"/>
    </row>
    <row r="10" spans="1:17" x14ac:dyDescent="0.2">
      <c r="B10" s="158"/>
      <c r="C10" s="181">
        <v>0.1</v>
      </c>
      <c r="D10" s="192">
        <v>2.75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Q10" s="163"/>
    </row>
    <row r="11" spans="1:17" x14ac:dyDescent="0.2">
      <c r="B11" s="158"/>
      <c r="C11" s="181">
        <v>0.15</v>
      </c>
      <c r="D11" s="192">
        <v>2.4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Q11" s="163"/>
    </row>
    <row r="12" spans="1:17" x14ac:dyDescent="0.2">
      <c r="B12" s="158"/>
      <c r="C12" s="181">
        <v>0.2</v>
      </c>
      <c r="D12" s="192">
        <v>2.25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Q12" s="163"/>
    </row>
    <row r="13" spans="1:17" x14ac:dyDescent="0.2">
      <c r="B13" s="158"/>
      <c r="C13" s="181">
        <v>0.25</v>
      </c>
      <c r="D13" s="192">
        <v>2.125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Q13" s="163"/>
    </row>
    <row r="14" spans="1:17" x14ac:dyDescent="0.2">
      <c r="B14" s="158"/>
      <c r="C14" s="181">
        <v>0.3</v>
      </c>
      <c r="D14" s="192">
        <v>2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Q14" s="163"/>
    </row>
    <row r="15" spans="1:17" x14ac:dyDescent="0.2">
      <c r="B15" s="158"/>
      <c r="C15" s="181">
        <v>0.35</v>
      </c>
      <c r="D15" s="192">
        <v>1.9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Q15" s="163"/>
    </row>
    <row r="16" spans="1:17" x14ac:dyDescent="0.2">
      <c r="B16" s="158"/>
      <c r="C16" s="181">
        <v>0.4</v>
      </c>
      <c r="D16" s="192">
        <v>1.78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Q16" s="163"/>
    </row>
    <row r="17" spans="1:17" x14ac:dyDescent="0.2">
      <c r="B17" s="158"/>
      <c r="C17" s="181">
        <v>0.45</v>
      </c>
      <c r="D17" s="192">
        <v>1.68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Q17" s="163"/>
    </row>
    <row r="18" spans="1:17" x14ac:dyDescent="0.2">
      <c r="B18" s="158"/>
      <c r="C18" s="181">
        <v>0.5</v>
      </c>
      <c r="D18" s="192">
        <v>1.58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Q18" s="163"/>
    </row>
    <row r="19" spans="1:17" x14ac:dyDescent="0.2">
      <c r="B19" s="158"/>
      <c r="C19" s="181">
        <v>0.55000000000000004</v>
      </c>
      <c r="D19" s="192">
        <v>1.48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Q19" s="163"/>
    </row>
    <row r="20" spans="1:17" x14ac:dyDescent="0.2">
      <c r="B20" s="158"/>
      <c r="C20" s="181">
        <v>0.6</v>
      </c>
      <c r="D20" s="192">
        <v>1.37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Q20" s="163"/>
    </row>
    <row r="21" spans="1:17" x14ac:dyDescent="0.2">
      <c r="B21" s="158"/>
      <c r="C21" s="181">
        <v>0.65</v>
      </c>
      <c r="D21" s="192">
        <v>1.26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Q21" s="163"/>
    </row>
    <row r="22" spans="1:17" x14ac:dyDescent="0.2">
      <c r="B22" s="158"/>
      <c r="C22" s="181">
        <v>0.7</v>
      </c>
      <c r="D22" s="192">
        <v>1.1499999999999999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Q22" s="163"/>
    </row>
    <row r="23" spans="1:17" x14ac:dyDescent="0.2">
      <c r="B23" s="158"/>
      <c r="C23" s="181">
        <v>0.75</v>
      </c>
      <c r="D23" s="192">
        <v>1.03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Q23" s="163"/>
    </row>
    <row r="24" spans="1:17" x14ac:dyDescent="0.2">
      <c r="B24" s="158"/>
      <c r="C24" s="181">
        <v>0.8</v>
      </c>
      <c r="D24" s="192">
        <v>0.9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Q24" s="163"/>
    </row>
    <row r="25" spans="1:17" x14ac:dyDescent="0.2">
      <c r="B25" s="158"/>
      <c r="C25" s="181">
        <v>0.85</v>
      </c>
      <c r="D25" s="192">
        <v>0.71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Q25" s="163"/>
    </row>
    <row r="26" spans="1:17" x14ac:dyDescent="0.2">
      <c r="B26" s="158"/>
      <c r="C26" s="181">
        <v>0.9</v>
      </c>
      <c r="D26" s="192">
        <v>0.5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Q26" s="163"/>
    </row>
    <row r="27" spans="1:17" x14ac:dyDescent="0.2">
      <c r="B27" s="158"/>
      <c r="C27" s="181">
        <v>0.95</v>
      </c>
      <c r="D27" s="192">
        <v>0.4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Q27" s="163"/>
    </row>
    <row r="28" spans="1:17" ht="17" thickBot="1" x14ac:dyDescent="0.25">
      <c r="B28" s="158"/>
      <c r="C28" s="182">
        <v>1</v>
      </c>
      <c r="D28" s="193">
        <v>0.15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Q28" s="163"/>
    </row>
    <row r="29" spans="1:17" ht="17" thickBot="1" x14ac:dyDescent="0.25">
      <c r="A29" s="2"/>
      <c r="B29" s="158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Q29" s="163"/>
    </row>
    <row r="30" spans="1:17" ht="21" thickBot="1" x14ac:dyDescent="0.3">
      <c r="B30" s="158"/>
      <c r="C30" s="183" t="s">
        <v>245</v>
      </c>
      <c r="D30" s="18"/>
      <c r="E30" s="195">
        <f>(((C28-C8)/20)/2)*(D8+D28+(2*SUM(D9:D27)))</f>
        <v>1.6494999999999997</v>
      </c>
      <c r="F30" s="2"/>
      <c r="G30" s="2"/>
      <c r="H30" s="2"/>
      <c r="I30" s="2"/>
      <c r="J30" s="165"/>
      <c r="K30" s="2"/>
      <c r="L30" s="2"/>
      <c r="M30" s="2"/>
      <c r="N30" s="2"/>
      <c r="O30" s="2"/>
      <c r="Q30" s="163"/>
    </row>
    <row r="31" spans="1:17" x14ac:dyDescent="0.2">
      <c r="A31" s="2"/>
      <c r="B31" s="158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Q31" s="163"/>
    </row>
    <row r="32" spans="1:17" ht="24" x14ac:dyDescent="0.3">
      <c r="A32" s="2"/>
      <c r="B32" s="158"/>
      <c r="C32" s="266" t="s">
        <v>9</v>
      </c>
      <c r="D32" s="266"/>
      <c r="E32" s="266"/>
      <c r="F32" s="266"/>
      <c r="G32" s="266"/>
      <c r="H32" s="266"/>
      <c r="I32" s="2"/>
      <c r="J32" s="2"/>
      <c r="K32" s="2"/>
      <c r="L32" s="2"/>
      <c r="M32" s="2"/>
      <c r="N32" s="2"/>
      <c r="O32" s="2"/>
      <c r="Q32" s="163"/>
    </row>
    <row r="33" spans="1:17" ht="17" thickBot="1" x14ac:dyDescent="0.25">
      <c r="A33" s="2"/>
      <c r="B33" s="158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Q33" s="163"/>
    </row>
    <row r="34" spans="1:17" ht="19" thickBot="1" x14ac:dyDescent="0.3">
      <c r="A34" s="2"/>
      <c r="B34" s="158"/>
      <c r="C34" s="68" t="s">
        <v>3</v>
      </c>
      <c r="D34" s="68"/>
      <c r="E34" s="146"/>
      <c r="F34" s="160" t="s">
        <v>5</v>
      </c>
      <c r="G34" s="2"/>
      <c r="H34" s="146"/>
      <c r="I34" s="148" t="s">
        <v>4</v>
      </c>
      <c r="J34" s="145"/>
      <c r="K34" s="2"/>
      <c r="L34" s="143"/>
      <c r="M34" s="161" t="s">
        <v>6</v>
      </c>
      <c r="N34" s="2"/>
      <c r="O34" s="196">
        <v>1</v>
      </c>
      <c r="Q34" s="163"/>
    </row>
    <row r="35" spans="1:17" ht="17" thickBot="1" x14ac:dyDescent="0.25">
      <c r="A35" s="2"/>
      <c r="B35" s="158"/>
      <c r="C35" s="2"/>
      <c r="D35" s="2"/>
      <c r="E35" s="147" t="str">
        <f>IF(O34=1,"%","")</f>
        <v>%</v>
      </c>
      <c r="F35" s="197">
        <v>10</v>
      </c>
      <c r="G35" s="2"/>
      <c r="H35" s="149" t="str">
        <f>IF(O34=2,"DMV","")</f>
        <v/>
      </c>
      <c r="I35" s="197">
        <v>0.16850000000000001</v>
      </c>
      <c r="J35" s="2"/>
      <c r="K35" s="2"/>
      <c r="L35" s="2"/>
      <c r="M35" s="2"/>
      <c r="N35" s="2"/>
      <c r="O35" s="2"/>
      <c r="Q35" s="163"/>
    </row>
    <row r="36" spans="1:17" ht="17" thickBot="1" x14ac:dyDescent="0.25">
      <c r="B36" s="158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Q36" s="163"/>
    </row>
    <row r="37" spans="1:17" ht="25" thickBot="1" x14ac:dyDescent="0.3">
      <c r="A37" s="2"/>
      <c r="B37" s="158"/>
      <c r="C37" s="2"/>
      <c r="D37" s="2"/>
      <c r="E37" s="2"/>
      <c r="F37" s="2"/>
      <c r="G37" s="4" t="s">
        <v>233</v>
      </c>
      <c r="H37" s="5"/>
      <c r="I37" s="5"/>
      <c r="J37" s="3"/>
      <c r="K37" s="153">
        <f>IF(O34=1,E30/100*F35,IF(O34=2,I35,IF(O34=3,D27)))</f>
        <v>0.16494999999999996</v>
      </c>
      <c r="L37" s="2"/>
      <c r="M37" s="2"/>
      <c r="N37" s="2"/>
      <c r="O37" s="2"/>
      <c r="Q37" s="163"/>
    </row>
    <row r="38" spans="1:17" x14ac:dyDescent="0.2">
      <c r="A38" s="2"/>
      <c r="B38" s="158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Q38" s="163"/>
    </row>
    <row r="39" spans="1:17" ht="24" x14ac:dyDescent="0.3">
      <c r="A39" s="2"/>
      <c r="B39" s="158"/>
      <c r="C39" s="266" t="s">
        <v>10</v>
      </c>
      <c r="D39" s="266"/>
      <c r="E39" s="266"/>
      <c r="F39" s="266"/>
      <c r="G39" s="167"/>
      <c r="H39" s="2"/>
      <c r="I39" s="2"/>
      <c r="J39" s="2"/>
      <c r="K39" s="2"/>
      <c r="L39" s="2"/>
      <c r="M39" s="2"/>
      <c r="N39" s="2"/>
      <c r="O39" s="2"/>
      <c r="Q39" s="163"/>
    </row>
    <row r="40" spans="1:17" ht="17" thickBot="1" x14ac:dyDescent="0.25">
      <c r="A40" s="2"/>
      <c r="B40" s="158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Q40" s="163"/>
    </row>
    <row r="41" spans="1:17" ht="21" thickBot="1" x14ac:dyDescent="0.3">
      <c r="B41" s="158"/>
      <c r="C41" s="256" t="s">
        <v>2</v>
      </c>
      <c r="D41" s="1" t="s">
        <v>7</v>
      </c>
      <c r="E41" s="1" t="s">
        <v>246</v>
      </c>
      <c r="F41" s="9" t="s">
        <v>247</v>
      </c>
      <c r="G41" s="2"/>
      <c r="H41" s="2"/>
      <c r="I41" s="2"/>
      <c r="J41" s="2"/>
      <c r="K41" s="2"/>
      <c r="L41" s="2"/>
      <c r="M41" s="2"/>
      <c r="N41" s="2"/>
      <c r="O41" s="2"/>
      <c r="Q41" s="163"/>
    </row>
    <row r="42" spans="1:17" x14ac:dyDescent="0.2">
      <c r="B42" s="158"/>
      <c r="C42" s="184">
        <v>0</v>
      </c>
      <c r="D42" s="245">
        <f>D8</f>
        <v>4.5999999999999996</v>
      </c>
      <c r="E42" s="7">
        <f t="shared" ref="E42:E59" si="0">IF(D42&gt;$K$37,$K$37,D42)</f>
        <v>0.16494999999999996</v>
      </c>
      <c r="F42" s="19">
        <f>D42-E42</f>
        <v>4.4350499999999995</v>
      </c>
      <c r="G42" s="2"/>
      <c r="H42" s="2"/>
      <c r="I42" s="2"/>
      <c r="J42" s="2"/>
      <c r="K42" s="2"/>
      <c r="L42" s="2"/>
      <c r="M42" s="2"/>
      <c r="N42" s="2"/>
      <c r="O42" s="2"/>
      <c r="Q42" s="163"/>
    </row>
    <row r="43" spans="1:17" x14ac:dyDescent="0.2">
      <c r="B43" s="158"/>
      <c r="C43" s="184">
        <v>0.05</v>
      </c>
      <c r="D43" s="150">
        <f t="shared" ref="D43:D62" si="1">D9</f>
        <v>3.35</v>
      </c>
      <c r="E43" s="7">
        <f t="shared" si="0"/>
        <v>0.16494999999999996</v>
      </c>
      <c r="F43" s="14">
        <f t="shared" ref="F43:F62" si="2">D43-E43</f>
        <v>3.1850499999999999</v>
      </c>
      <c r="G43" s="2"/>
      <c r="H43" s="2"/>
      <c r="I43" s="2"/>
      <c r="J43" s="2"/>
      <c r="K43" s="2"/>
      <c r="L43" s="2"/>
      <c r="M43" s="2"/>
      <c r="N43" s="2"/>
      <c r="O43" s="2"/>
      <c r="Q43" s="163"/>
    </row>
    <row r="44" spans="1:17" x14ac:dyDescent="0.2">
      <c r="B44" s="158"/>
      <c r="C44" s="184">
        <v>0.1</v>
      </c>
      <c r="D44" s="150">
        <f t="shared" si="1"/>
        <v>2.75</v>
      </c>
      <c r="E44" s="7">
        <f t="shared" si="0"/>
        <v>0.16494999999999996</v>
      </c>
      <c r="F44" s="14">
        <f t="shared" si="2"/>
        <v>2.5850499999999998</v>
      </c>
      <c r="G44" s="2"/>
      <c r="H44" s="2"/>
      <c r="I44" s="2"/>
      <c r="J44" s="2"/>
      <c r="K44" s="2"/>
      <c r="L44" s="2"/>
      <c r="M44" s="2"/>
      <c r="N44" s="2"/>
      <c r="O44" s="2"/>
      <c r="Q44" s="163"/>
    </row>
    <row r="45" spans="1:17" x14ac:dyDescent="0.2">
      <c r="B45" s="158"/>
      <c r="C45" s="184">
        <v>0.15</v>
      </c>
      <c r="D45" s="150">
        <f t="shared" si="1"/>
        <v>2.4</v>
      </c>
      <c r="E45" s="7">
        <f t="shared" si="0"/>
        <v>0.16494999999999996</v>
      </c>
      <c r="F45" s="14">
        <f t="shared" si="2"/>
        <v>2.2350499999999998</v>
      </c>
      <c r="G45" s="2"/>
      <c r="H45" s="2"/>
      <c r="I45" s="2"/>
      <c r="J45" s="2"/>
      <c r="K45" s="2"/>
      <c r="L45" s="2"/>
      <c r="M45" s="2"/>
      <c r="N45" s="2"/>
      <c r="O45" s="2"/>
      <c r="Q45" s="163"/>
    </row>
    <row r="46" spans="1:17" x14ac:dyDescent="0.2">
      <c r="B46" s="158"/>
      <c r="C46" s="184">
        <v>0.2</v>
      </c>
      <c r="D46" s="150">
        <f t="shared" si="1"/>
        <v>2.25</v>
      </c>
      <c r="E46" s="7">
        <f t="shared" si="0"/>
        <v>0.16494999999999996</v>
      </c>
      <c r="F46" s="14">
        <f t="shared" si="2"/>
        <v>2.0850499999999998</v>
      </c>
      <c r="G46" s="2"/>
      <c r="H46" s="2"/>
      <c r="I46" s="2"/>
      <c r="J46" s="2"/>
      <c r="K46" s="2"/>
      <c r="L46" s="2"/>
      <c r="M46" s="2"/>
      <c r="N46" s="2"/>
      <c r="O46" s="2"/>
      <c r="Q46" s="163"/>
    </row>
    <row r="47" spans="1:17" x14ac:dyDescent="0.2">
      <c r="B47" s="158"/>
      <c r="C47" s="184">
        <v>0.25</v>
      </c>
      <c r="D47" s="150">
        <f t="shared" si="1"/>
        <v>2.125</v>
      </c>
      <c r="E47" s="7">
        <f t="shared" si="0"/>
        <v>0.16494999999999996</v>
      </c>
      <c r="F47" s="14">
        <f t="shared" si="2"/>
        <v>1.9600500000000001</v>
      </c>
      <c r="G47" s="2"/>
      <c r="H47" s="2"/>
      <c r="I47" s="2"/>
      <c r="J47" s="2"/>
      <c r="K47" s="2"/>
      <c r="L47" s="2"/>
      <c r="M47" s="2"/>
      <c r="N47" s="2"/>
      <c r="O47" s="2"/>
      <c r="Q47" s="163"/>
    </row>
    <row r="48" spans="1:17" x14ac:dyDescent="0.2">
      <c r="B48" s="158"/>
      <c r="C48" s="184">
        <v>0.3</v>
      </c>
      <c r="D48" s="150">
        <f t="shared" si="1"/>
        <v>2</v>
      </c>
      <c r="E48" s="7">
        <f t="shared" si="0"/>
        <v>0.16494999999999996</v>
      </c>
      <c r="F48" s="14">
        <f t="shared" si="2"/>
        <v>1.8350500000000001</v>
      </c>
      <c r="G48" s="2"/>
      <c r="H48" s="2"/>
      <c r="I48" s="2"/>
      <c r="J48" s="2"/>
      <c r="K48" s="2"/>
      <c r="L48" s="2"/>
      <c r="M48" s="2"/>
      <c r="N48" s="2"/>
      <c r="O48" s="2"/>
      <c r="Q48" s="163"/>
    </row>
    <row r="49" spans="1:17" x14ac:dyDescent="0.2">
      <c r="B49" s="158"/>
      <c r="C49" s="184">
        <v>0.35</v>
      </c>
      <c r="D49" s="150">
        <f t="shared" si="1"/>
        <v>1.9</v>
      </c>
      <c r="E49" s="7">
        <f t="shared" si="0"/>
        <v>0.16494999999999996</v>
      </c>
      <c r="F49" s="14">
        <f t="shared" si="2"/>
        <v>1.73505</v>
      </c>
      <c r="G49" s="2"/>
      <c r="H49" s="2"/>
      <c r="I49" s="2"/>
      <c r="J49" s="2"/>
      <c r="K49" s="2"/>
      <c r="L49" s="2"/>
      <c r="M49" s="2"/>
      <c r="N49" s="2"/>
      <c r="O49" s="2"/>
      <c r="Q49" s="163"/>
    </row>
    <row r="50" spans="1:17" x14ac:dyDescent="0.2">
      <c r="B50" s="158"/>
      <c r="C50" s="184">
        <v>0.4</v>
      </c>
      <c r="D50" s="150">
        <f t="shared" si="1"/>
        <v>1.78</v>
      </c>
      <c r="E50" s="7">
        <f t="shared" si="0"/>
        <v>0.16494999999999996</v>
      </c>
      <c r="F50" s="14">
        <f t="shared" si="2"/>
        <v>1.6150500000000001</v>
      </c>
      <c r="G50" s="2"/>
      <c r="H50" s="2"/>
      <c r="I50" s="2"/>
      <c r="J50" s="2"/>
      <c r="K50" s="2"/>
      <c r="L50" s="2"/>
      <c r="M50" s="2"/>
      <c r="N50" s="2"/>
      <c r="O50" s="2"/>
      <c r="Q50" s="163"/>
    </row>
    <row r="51" spans="1:17" x14ac:dyDescent="0.2">
      <c r="B51" s="158"/>
      <c r="C51" s="184">
        <v>0.45</v>
      </c>
      <c r="D51" s="150">
        <f t="shared" si="1"/>
        <v>1.68</v>
      </c>
      <c r="E51" s="7">
        <f t="shared" si="0"/>
        <v>0.16494999999999996</v>
      </c>
      <c r="F51" s="14">
        <f t="shared" si="2"/>
        <v>1.51505</v>
      </c>
      <c r="G51" s="2"/>
      <c r="H51" s="2"/>
      <c r="I51" s="2"/>
      <c r="J51" s="2"/>
      <c r="K51" s="2"/>
      <c r="L51" s="2"/>
      <c r="M51" s="2"/>
      <c r="N51" s="2"/>
      <c r="O51" s="2"/>
      <c r="Q51" s="163"/>
    </row>
    <row r="52" spans="1:17" x14ac:dyDescent="0.2">
      <c r="B52" s="158"/>
      <c r="C52" s="184">
        <v>0.5</v>
      </c>
      <c r="D52" s="150">
        <f t="shared" si="1"/>
        <v>1.58</v>
      </c>
      <c r="E52" s="7">
        <f t="shared" si="0"/>
        <v>0.16494999999999996</v>
      </c>
      <c r="F52" s="14">
        <f t="shared" si="2"/>
        <v>1.4150500000000001</v>
      </c>
      <c r="G52" s="2"/>
      <c r="H52" s="2"/>
      <c r="I52" s="2"/>
      <c r="J52" s="2"/>
      <c r="K52" s="2"/>
      <c r="L52" s="2"/>
      <c r="M52" s="2"/>
      <c r="N52" s="2"/>
      <c r="O52" s="2"/>
      <c r="Q52" s="163"/>
    </row>
    <row r="53" spans="1:17" x14ac:dyDescent="0.2">
      <c r="B53" s="158"/>
      <c r="C53" s="184">
        <v>0.55000000000000004</v>
      </c>
      <c r="D53" s="150">
        <f t="shared" si="1"/>
        <v>1.48</v>
      </c>
      <c r="E53" s="7">
        <f t="shared" si="0"/>
        <v>0.16494999999999996</v>
      </c>
      <c r="F53" s="14">
        <f t="shared" si="2"/>
        <v>1.3150500000000001</v>
      </c>
      <c r="G53" s="2"/>
      <c r="H53" s="2"/>
      <c r="I53" s="2"/>
      <c r="J53" s="2"/>
      <c r="K53" s="2"/>
      <c r="L53" s="2"/>
      <c r="M53" s="2"/>
      <c r="N53" s="2"/>
      <c r="O53" s="2"/>
      <c r="Q53" s="163"/>
    </row>
    <row r="54" spans="1:17" x14ac:dyDescent="0.2">
      <c r="B54" s="158"/>
      <c r="C54" s="184">
        <v>0.6</v>
      </c>
      <c r="D54" s="150">
        <f t="shared" si="1"/>
        <v>1.37</v>
      </c>
      <c r="E54" s="7">
        <f t="shared" si="0"/>
        <v>0.16494999999999996</v>
      </c>
      <c r="F54" s="14">
        <f t="shared" si="2"/>
        <v>1.2050500000000002</v>
      </c>
      <c r="G54" s="2"/>
      <c r="H54" s="2"/>
      <c r="I54" s="2"/>
      <c r="J54" s="2"/>
      <c r="K54" s="2"/>
      <c r="L54" s="2"/>
      <c r="M54" s="2"/>
      <c r="N54" s="2"/>
      <c r="O54" s="2"/>
      <c r="Q54" s="163"/>
    </row>
    <row r="55" spans="1:17" x14ac:dyDescent="0.2">
      <c r="B55" s="158"/>
      <c r="C55" s="184">
        <v>0.65</v>
      </c>
      <c r="D55" s="150">
        <f t="shared" si="1"/>
        <v>1.26</v>
      </c>
      <c r="E55" s="7">
        <f t="shared" si="0"/>
        <v>0.16494999999999996</v>
      </c>
      <c r="F55" s="14">
        <f t="shared" si="2"/>
        <v>1.0950500000000001</v>
      </c>
      <c r="G55" s="2"/>
      <c r="H55" s="2"/>
      <c r="I55" s="2"/>
      <c r="J55" s="2"/>
      <c r="K55" s="2"/>
      <c r="L55" s="2"/>
      <c r="M55" s="2"/>
      <c r="N55" s="2"/>
      <c r="O55" s="2"/>
      <c r="Q55" s="163"/>
    </row>
    <row r="56" spans="1:17" x14ac:dyDescent="0.2">
      <c r="B56" s="158"/>
      <c r="C56" s="184">
        <v>0.7</v>
      </c>
      <c r="D56" s="150">
        <f t="shared" si="1"/>
        <v>1.1499999999999999</v>
      </c>
      <c r="E56" s="7">
        <f t="shared" si="0"/>
        <v>0.16494999999999996</v>
      </c>
      <c r="F56" s="14">
        <f t="shared" si="2"/>
        <v>0.98504999999999998</v>
      </c>
      <c r="G56" s="2"/>
      <c r="H56" s="2"/>
      <c r="I56" s="2"/>
      <c r="J56" s="2"/>
      <c r="K56" s="2"/>
      <c r="L56" s="2"/>
      <c r="M56" s="2"/>
      <c r="N56" s="2"/>
      <c r="O56" s="2"/>
      <c r="Q56" s="163"/>
    </row>
    <row r="57" spans="1:17" x14ac:dyDescent="0.2">
      <c r="B57" s="158"/>
      <c r="C57" s="184">
        <v>0.75</v>
      </c>
      <c r="D57" s="150">
        <f t="shared" si="1"/>
        <v>1.03</v>
      </c>
      <c r="E57" s="7">
        <f t="shared" si="0"/>
        <v>0.16494999999999996</v>
      </c>
      <c r="F57" s="14">
        <f t="shared" si="2"/>
        <v>0.8650500000000001</v>
      </c>
      <c r="G57" s="2"/>
      <c r="H57" s="2"/>
      <c r="I57" s="2"/>
      <c r="J57" s="2"/>
      <c r="K57" s="2"/>
      <c r="L57" s="2"/>
      <c r="M57" s="2"/>
      <c r="N57" s="2"/>
      <c r="O57" s="2"/>
      <c r="Q57" s="163"/>
    </row>
    <row r="58" spans="1:17" x14ac:dyDescent="0.2">
      <c r="B58" s="158"/>
      <c r="C58" s="184">
        <v>0.8</v>
      </c>
      <c r="D58" s="150">
        <f t="shared" si="1"/>
        <v>0.9</v>
      </c>
      <c r="E58" s="7">
        <f t="shared" si="0"/>
        <v>0.16494999999999996</v>
      </c>
      <c r="F58" s="14">
        <f t="shared" si="2"/>
        <v>0.73505000000000009</v>
      </c>
      <c r="G58" s="2"/>
      <c r="H58" s="2"/>
      <c r="I58" s="2"/>
      <c r="J58" s="2"/>
      <c r="K58" s="2"/>
      <c r="L58" s="2"/>
      <c r="M58" s="2"/>
      <c r="N58" s="2"/>
      <c r="O58" s="2"/>
      <c r="Q58" s="163"/>
    </row>
    <row r="59" spans="1:17" x14ac:dyDescent="0.2">
      <c r="B59" s="158"/>
      <c r="C59" s="184">
        <v>0.85</v>
      </c>
      <c r="D59" s="150">
        <f t="shared" si="1"/>
        <v>0.71</v>
      </c>
      <c r="E59" s="7">
        <f t="shared" si="0"/>
        <v>0.16494999999999996</v>
      </c>
      <c r="F59" s="14">
        <f t="shared" si="2"/>
        <v>0.54505000000000003</v>
      </c>
      <c r="G59" s="2"/>
      <c r="H59" s="2"/>
      <c r="I59" s="2"/>
      <c r="J59" s="2"/>
      <c r="K59" s="2"/>
      <c r="L59" s="2"/>
      <c r="M59" s="2"/>
      <c r="N59" s="2"/>
      <c r="O59" s="2"/>
      <c r="Q59" s="163"/>
    </row>
    <row r="60" spans="1:17" x14ac:dyDescent="0.2">
      <c r="B60" s="158"/>
      <c r="C60" s="184">
        <v>0.9</v>
      </c>
      <c r="D60" s="150">
        <f t="shared" si="1"/>
        <v>0.5</v>
      </c>
      <c r="E60" s="7">
        <f>IF(D60&gt;$K$37,$K$37,D60)</f>
        <v>0.16494999999999996</v>
      </c>
      <c r="F60" s="14">
        <f t="shared" si="2"/>
        <v>0.33505000000000007</v>
      </c>
      <c r="G60" s="2"/>
      <c r="H60" s="2"/>
      <c r="I60" s="2"/>
      <c r="J60" s="2"/>
      <c r="K60" s="2"/>
      <c r="L60" s="2"/>
      <c r="M60" s="2"/>
      <c r="N60" s="2"/>
      <c r="O60" s="2"/>
      <c r="Q60" s="163"/>
    </row>
    <row r="61" spans="1:17" x14ac:dyDescent="0.2">
      <c r="B61" s="158"/>
      <c r="C61" s="184">
        <v>0.95</v>
      </c>
      <c r="D61" s="150">
        <f t="shared" si="1"/>
        <v>0.4</v>
      </c>
      <c r="E61" s="7">
        <f t="shared" ref="E61:E62" si="3">IF(D61&gt;$K$37,$K$37,D61)</f>
        <v>0.16494999999999996</v>
      </c>
      <c r="F61" s="14">
        <f t="shared" si="2"/>
        <v>0.23505000000000006</v>
      </c>
      <c r="G61" s="257"/>
      <c r="H61" s="2"/>
      <c r="I61" s="2"/>
      <c r="J61" s="2"/>
      <c r="K61" s="2"/>
      <c r="L61" s="2"/>
      <c r="M61" s="2"/>
      <c r="N61" s="2"/>
      <c r="O61" s="2"/>
      <c r="Q61" s="163"/>
    </row>
    <row r="62" spans="1:17" ht="17" thickBot="1" x14ac:dyDescent="0.25">
      <c r="A62" s="2"/>
      <c r="B62" s="158"/>
      <c r="C62" s="185">
        <v>1</v>
      </c>
      <c r="D62" s="151">
        <f t="shared" si="1"/>
        <v>0.15</v>
      </c>
      <c r="E62" s="8">
        <f t="shared" si="3"/>
        <v>0.15</v>
      </c>
      <c r="F62" s="15">
        <f t="shared" si="2"/>
        <v>0</v>
      </c>
      <c r="G62" s="257"/>
      <c r="H62" s="2"/>
      <c r="I62" s="2"/>
      <c r="J62" s="2"/>
      <c r="K62" s="2"/>
      <c r="L62" s="2"/>
      <c r="M62" s="2"/>
      <c r="N62" s="2"/>
      <c r="O62" s="2"/>
      <c r="Q62" s="163"/>
    </row>
    <row r="63" spans="1:17" x14ac:dyDescent="0.2">
      <c r="A63" s="2"/>
      <c r="B63" s="158"/>
      <c r="C63" s="257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Q63" s="163"/>
    </row>
    <row r="64" spans="1:17" ht="26" x14ac:dyDescent="0.35">
      <c r="A64" s="2"/>
      <c r="B64" s="158"/>
      <c r="C64" s="267" t="s">
        <v>55</v>
      </c>
      <c r="D64" s="267"/>
      <c r="E64" s="267"/>
      <c r="F64" s="267"/>
      <c r="G64" s="2"/>
      <c r="H64" s="2"/>
      <c r="I64" s="2"/>
      <c r="J64" s="2"/>
      <c r="K64" s="2"/>
      <c r="L64" s="2"/>
      <c r="M64" s="2"/>
      <c r="N64" s="2"/>
      <c r="O64" s="2"/>
      <c r="Q64" s="163"/>
    </row>
    <row r="65" spans="1:17" ht="17" thickBot="1" x14ac:dyDescent="0.25">
      <c r="A65" s="2"/>
      <c r="B65" s="158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Q65" s="163"/>
    </row>
    <row r="66" spans="1:17" ht="19" thickBot="1" x14ac:dyDescent="0.3">
      <c r="A66" s="2"/>
      <c r="B66" s="158"/>
      <c r="C66" s="68" t="s">
        <v>232</v>
      </c>
      <c r="D66" s="68"/>
      <c r="E66" s="146"/>
      <c r="F66" s="160" t="s">
        <v>11</v>
      </c>
      <c r="G66" s="2"/>
      <c r="H66" s="143"/>
      <c r="I66" s="144" t="s">
        <v>12</v>
      </c>
      <c r="J66" s="154"/>
      <c r="K66" s="196">
        <v>2</v>
      </c>
      <c r="L66" s="166"/>
      <c r="M66" s="2"/>
      <c r="N66" s="2"/>
      <c r="O66" s="2"/>
      <c r="Q66" s="163"/>
    </row>
    <row r="67" spans="1:17" ht="23" customHeight="1" thickBot="1" x14ac:dyDescent="0.25">
      <c r="A67" s="2"/>
      <c r="B67" s="158"/>
      <c r="C67" s="2"/>
      <c r="D67" s="2"/>
      <c r="E67" s="149" t="str">
        <f>IF(K66=1,"Qp","")</f>
        <v/>
      </c>
      <c r="F67" s="198">
        <v>3</v>
      </c>
      <c r="G67" s="2"/>
      <c r="H67" s="6"/>
      <c r="I67" s="152">
        <f>IF(K67=1,F42,IF(K67=2,F43,IF(K67=3,F44,IF(K67=4,F45,IF(K67=5,F46,IF(K67=6,F47,IF(K67=7,F48,IF(K67=8,F49,IF(K67=9,F50,IF(K67=10,F51,IF(K67=11,F52,IF(K67=12,F53,IF(K67=13,F54,IF(K67=14,F55,IF(K67=15,F56,IF(K67=16,F57,IF(K67=17,F58,IF(K67=18,F59,IF(K67=19,F60,IF(K67=20,F61,IF(K67,D=60)))))))))))))))))))))</f>
        <v>2.2350499999999998</v>
      </c>
      <c r="J67" s="2"/>
      <c r="K67" s="196">
        <v>4</v>
      </c>
      <c r="L67" s="2"/>
      <c r="M67" s="2"/>
      <c r="N67" s="2"/>
      <c r="O67" s="2"/>
      <c r="Q67" s="163"/>
    </row>
    <row r="68" spans="1:17" ht="17" thickBot="1" x14ac:dyDescent="0.25">
      <c r="A68" s="2"/>
      <c r="B68" s="158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Q68" s="163"/>
    </row>
    <row r="69" spans="1:17" ht="27" thickBot="1" x14ac:dyDescent="0.4">
      <c r="A69" s="2"/>
      <c r="B69" s="158"/>
      <c r="C69" s="2"/>
      <c r="D69" s="2"/>
      <c r="E69" s="2"/>
      <c r="F69" s="2"/>
      <c r="G69" s="268" t="s">
        <v>13</v>
      </c>
      <c r="H69" s="269"/>
      <c r="I69" s="269"/>
      <c r="J69" s="270"/>
      <c r="K69" s="153">
        <f>IF(K66=1,F67,IF(K66=2,I67))</f>
        <v>2.2350499999999998</v>
      </c>
      <c r="L69" s="2"/>
      <c r="M69" s="2"/>
      <c r="N69" s="2"/>
      <c r="O69" s="2"/>
      <c r="Q69" s="163"/>
    </row>
    <row r="70" spans="1:17" x14ac:dyDescent="0.2">
      <c r="A70" s="2"/>
      <c r="B70" s="158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Q70" s="163"/>
    </row>
    <row r="71" spans="1:17" ht="26" x14ac:dyDescent="0.35">
      <c r="A71" s="2"/>
      <c r="B71" s="158"/>
      <c r="C71" s="267" t="s">
        <v>56</v>
      </c>
      <c r="D71" s="267"/>
      <c r="E71" s="267"/>
      <c r="F71" s="267"/>
      <c r="G71" s="2"/>
      <c r="H71" s="2"/>
      <c r="I71" s="2"/>
      <c r="J71" s="2"/>
      <c r="K71" s="2"/>
      <c r="L71" s="2"/>
      <c r="M71" s="2"/>
      <c r="N71" s="2"/>
      <c r="O71" s="2"/>
      <c r="Q71" s="163"/>
    </row>
    <row r="72" spans="1:17" ht="17" thickBot="1" x14ac:dyDescent="0.25">
      <c r="A72" s="2"/>
      <c r="B72" s="158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Q72" s="163"/>
    </row>
    <row r="73" spans="1:17" ht="21" thickBot="1" x14ac:dyDescent="0.3">
      <c r="B73" s="158"/>
      <c r="C73" s="186" t="s">
        <v>2</v>
      </c>
      <c r="D73" s="1" t="s">
        <v>8</v>
      </c>
      <c r="E73" s="13" t="s">
        <v>268</v>
      </c>
      <c r="F73" s="2"/>
      <c r="G73" s="2"/>
      <c r="H73" s="2"/>
      <c r="I73" s="2"/>
      <c r="J73" s="2"/>
      <c r="K73" s="2"/>
      <c r="L73" s="2"/>
      <c r="M73" s="2"/>
      <c r="N73" s="2"/>
      <c r="O73" s="2"/>
      <c r="Q73" s="163"/>
    </row>
    <row r="74" spans="1:17" x14ac:dyDescent="0.2">
      <c r="B74" s="158"/>
      <c r="C74" s="187">
        <v>0</v>
      </c>
      <c r="D74" s="14">
        <f>F42</f>
        <v>4.4350499999999995</v>
      </c>
      <c r="E74" s="14">
        <f>IF(D74&gt;$K$69,$K$69,D74)</f>
        <v>2.2350499999999998</v>
      </c>
      <c r="F74" s="2"/>
      <c r="G74" s="2"/>
      <c r="H74" s="2"/>
      <c r="I74" s="2"/>
      <c r="J74" s="2"/>
      <c r="K74" s="2"/>
      <c r="L74" s="2"/>
      <c r="M74" s="2"/>
      <c r="N74" s="2"/>
      <c r="O74" s="2"/>
      <c r="Q74" s="163"/>
    </row>
    <row r="75" spans="1:17" x14ac:dyDescent="0.2">
      <c r="B75" s="158"/>
      <c r="C75" s="187">
        <v>0.05</v>
      </c>
      <c r="D75" s="14">
        <f t="shared" ref="D75:D94" si="4">F43</f>
        <v>3.1850499999999999</v>
      </c>
      <c r="E75" s="14">
        <f t="shared" ref="E75:E94" si="5">IF(D75&gt;$K$69,$K$69,D75)</f>
        <v>2.2350499999999998</v>
      </c>
      <c r="F75" s="2"/>
      <c r="G75" s="2"/>
      <c r="H75" s="2"/>
      <c r="I75" s="2"/>
      <c r="J75" s="2"/>
      <c r="K75" s="2"/>
      <c r="L75" s="2"/>
      <c r="M75" s="2"/>
      <c r="N75" s="2"/>
      <c r="O75" s="2"/>
      <c r="Q75" s="163"/>
    </row>
    <row r="76" spans="1:17" x14ac:dyDescent="0.2">
      <c r="B76" s="158"/>
      <c r="C76" s="187">
        <v>0.1</v>
      </c>
      <c r="D76" s="14">
        <f t="shared" si="4"/>
        <v>2.5850499999999998</v>
      </c>
      <c r="E76" s="14">
        <f t="shared" si="5"/>
        <v>2.2350499999999998</v>
      </c>
      <c r="F76" s="2"/>
      <c r="G76" s="2"/>
      <c r="H76" s="2"/>
      <c r="I76" s="2"/>
      <c r="J76" s="2"/>
      <c r="K76" s="2"/>
      <c r="L76" s="2"/>
      <c r="M76" s="2"/>
      <c r="N76" s="2"/>
      <c r="O76" s="2"/>
      <c r="Q76" s="163"/>
    </row>
    <row r="77" spans="1:17" x14ac:dyDescent="0.2">
      <c r="B77" s="158"/>
      <c r="C77" s="187">
        <v>0.15</v>
      </c>
      <c r="D77" s="14">
        <f t="shared" si="4"/>
        <v>2.2350499999999998</v>
      </c>
      <c r="E77" s="14">
        <f t="shared" si="5"/>
        <v>2.2350499999999998</v>
      </c>
      <c r="F77" s="2"/>
      <c r="G77" s="2"/>
      <c r="H77" s="2"/>
      <c r="I77" s="2"/>
      <c r="J77" s="2"/>
      <c r="K77" s="2"/>
      <c r="L77" s="2"/>
      <c r="M77" s="2"/>
      <c r="N77" s="2"/>
      <c r="O77" s="2"/>
      <c r="Q77" s="163"/>
    </row>
    <row r="78" spans="1:17" x14ac:dyDescent="0.2">
      <c r="B78" s="158"/>
      <c r="C78" s="187">
        <v>0.2</v>
      </c>
      <c r="D78" s="14">
        <f t="shared" si="4"/>
        <v>2.0850499999999998</v>
      </c>
      <c r="E78" s="14">
        <f t="shared" si="5"/>
        <v>2.0850499999999998</v>
      </c>
      <c r="F78" s="2"/>
      <c r="G78" s="2"/>
      <c r="H78" s="2"/>
      <c r="I78" s="2"/>
      <c r="J78" s="2"/>
      <c r="K78" s="2"/>
      <c r="L78" s="2"/>
      <c r="M78" s="2"/>
      <c r="N78" s="2"/>
      <c r="O78" s="2"/>
      <c r="Q78" s="163"/>
    </row>
    <row r="79" spans="1:17" x14ac:dyDescent="0.2">
      <c r="B79" s="158"/>
      <c r="C79" s="187">
        <v>0.25</v>
      </c>
      <c r="D79" s="14">
        <f t="shared" si="4"/>
        <v>1.9600500000000001</v>
      </c>
      <c r="E79" s="14">
        <f t="shared" si="5"/>
        <v>1.9600500000000001</v>
      </c>
      <c r="F79" s="2"/>
      <c r="G79" s="2"/>
      <c r="H79" s="2"/>
      <c r="I79" s="2"/>
      <c r="J79" s="2"/>
      <c r="K79" s="2"/>
      <c r="L79" s="2"/>
      <c r="M79" s="2"/>
      <c r="N79" s="2"/>
      <c r="O79" s="2"/>
      <c r="Q79" s="163"/>
    </row>
    <row r="80" spans="1:17" x14ac:dyDescent="0.2">
      <c r="B80" s="158"/>
      <c r="C80" s="187">
        <v>0.3</v>
      </c>
      <c r="D80" s="14">
        <f t="shared" si="4"/>
        <v>1.8350500000000001</v>
      </c>
      <c r="E80" s="14">
        <f t="shared" si="5"/>
        <v>1.8350500000000001</v>
      </c>
      <c r="F80" s="2"/>
      <c r="G80" s="2"/>
      <c r="H80" s="2"/>
      <c r="I80" s="2"/>
      <c r="J80" s="2"/>
      <c r="K80" s="2"/>
      <c r="L80" s="2"/>
      <c r="M80" s="2"/>
      <c r="N80" s="2"/>
      <c r="O80" s="2"/>
      <c r="Q80" s="163"/>
    </row>
    <row r="81" spans="1:17" x14ac:dyDescent="0.2">
      <c r="B81" s="158"/>
      <c r="C81" s="187">
        <v>0.35</v>
      </c>
      <c r="D81" s="14">
        <f t="shared" si="4"/>
        <v>1.73505</v>
      </c>
      <c r="E81" s="14">
        <f t="shared" si="5"/>
        <v>1.73505</v>
      </c>
      <c r="F81" s="2"/>
      <c r="G81" s="2"/>
      <c r="H81" s="2"/>
      <c r="I81" s="2"/>
      <c r="J81" s="2"/>
      <c r="K81" s="2"/>
      <c r="L81" s="2"/>
      <c r="M81" s="2"/>
      <c r="N81" s="2"/>
      <c r="O81" s="2"/>
      <c r="Q81" s="163"/>
    </row>
    <row r="82" spans="1:17" x14ac:dyDescent="0.2">
      <c r="B82" s="158"/>
      <c r="C82" s="187">
        <v>0.4</v>
      </c>
      <c r="D82" s="14">
        <f t="shared" si="4"/>
        <v>1.6150500000000001</v>
      </c>
      <c r="E82" s="14">
        <f t="shared" si="5"/>
        <v>1.6150500000000001</v>
      </c>
      <c r="F82" s="2"/>
      <c r="G82" s="2"/>
      <c r="H82" s="2"/>
      <c r="I82" s="2"/>
      <c r="J82" s="2"/>
      <c r="K82" s="2"/>
      <c r="L82" s="2"/>
      <c r="M82" s="2"/>
      <c r="N82" s="2"/>
      <c r="O82" s="2"/>
      <c r="Q82" s="163"/>
    </row>
    <row r="83" spans="1:17" x14ac:dyDescent="0.2">
      <c r="B83" s="158"/>
      <c r="C83" s="187">
        <v>0.45</v>
      </c>
      <c r="D83" s="14">
        <f t="shared" si="4"/>
        <v>1.51505</v>
      </c>
      <c r="E83" s="14">
        <f t="shared" si="5"/>
        <v>1.51505</v>
      </c>
      <c r="F83" s="2"/>
      <c r="G83" s="2"/>
      <c r="H83" s="2"/>
      <c r="I83" s="2"/>
      <c r="J83" s="2"/>
      <c r="K83" s="2"/>
      <c r="L83" s="2"/>
      <c r="M83" s="2"/>
      <c r="N83" s="2"/>
      <c r="O83" s="2"/>
      <c r="Q83" s="163"/>
    </row>
    <row r="84" spans="1:17" x14ac:dyDescent="0.2">
      <c r="B84" s="158"/>
      <c r="C84" s="187">
        <v>0.5</v>
      </c>
      <c r="D84" s="14">
        <f t="shared" si="4"/>
        <v>1.4150500000000001</v>
      </c>
      <c r="E84" s="14">
        <f t="shared" si="5"/>
        <v>1.4150500000000001</v>
      </c>
      <c r="F84" s="2"/>
      <c r="G84" s="2"/>
      <c r="H84" s="2"/>
      <c r="I84" s="2"/>
      <c r="J84" s="2"/>
      <c r="K84" s="2"/>
      <c r="L84" s="2"/>
      <c r="M84" s="2"/>
      <c r="N84" s="2"/>
      <c r="O84" s="2"/>
      <c r="Q84" s="163"/>
    </row>
    <row r="85" spans="1:17" x14ac:dyDescent="0.2">
      <c r="B85" s="158"/>
      <c r="C85" s="187">
        <v>0.55000000000000004</v>
      </c>
      <c r="D85" s="14">
        <f t="shared" si="4"/>
        <v>1.3150500000000001</v>
      </c>
      <c r="E85" s="14">
        <f t="shared" si="5"/>
        <v>1.3150500000000001</v>
      </c>
      <c r="F85" s="2"/>
      <c r="G85" s="2"/>
      <c r="H85" s="2"/>
      <c r="I85" s="2"/>
      <c r="J85" s="2"/>
      <c r="K85" s="2"/>
      <c r="L85" s="2"/>
      <c r="M85" s="2"/>
      <c r="N85" s="2"/>
      <c r="O85" s="2"/>
      <c r="Q85" s="163"/>
    </row>
    <row r="86" spans="1:17" x14ac:dyDescent="0.2">
      <c r="B86" s="158"/>
      <c r="C86" s="187">
        <v>0.6</v>
      </c>
      <c r="D86" s="14">
        <f t="shared" si="4"/>
        <v>1.2050500000000002</v>
      </c>
      <c r="E86" s="14">
        <f t="shared" si="5"/>
        <v>1.2050500000000002</v>
      </c>
      <c r="F86" s="2"/>
      <c r="G86" s="2"/>
      <c r="H86" s="2"/>
      <c r="I86" s="2"/>
      <c r="J86" s="2"/>
      <c r="K86" s="2"/>
      <c r="L86" s="2"/>
      <c r="M86" s="2"/>
      <c r="N86" s="2"/>
      <c r="O86" s="2"/>
      <c r="Q86" s="163"/>
    </row>
    <row r="87" spans="1:17" x14ac:dyDescent="0.2">
      <c r="B87" s="158"/>
      <c r="C87" s="187">
        <v>0.65</v>
      </c>
      <c r="D87" s="14">
        <f t="shared" si="4"/>
        <v>1.0950500000000001</v>
      </c>
      <c r="E87" s="14">
        <f t="shared" si="5"/>
        <v>1.0950500000000001</v>
      </c>
      <c r="F87" s="2"/>
      <c r="G87" s="2"/>
      <c r="H87" s="2"/>
      <c r="I87" s="2"/>
      <c r="J87" s="2"/>
      <c r="K87" s="2"/>
      <c r="L87" s="2"/>
      <c r="M87" s="2"/>
      <c r="N87" s="2"/>
      <c r="O87" s="2"/>
      <c r="Q87" s="163"/>
    </row>
    <row r="88" spans="1:17" x14ac:dyDescent="0.2">
      <c r="B88" s="158"/>
      <c r="C88" s="187">
        <v>0.7</v>
      </c>
      <c r="D88" s="14">
        <f t="shared" si="4"/>
        <v>0.98504999999999998</v>
      </c>
      <c r="E88" s="14">
        <f t="shared" si="5"/>
        <v>0.98504999999999998</v>
      </c>
      <c r="F88" s="2"/>
      <c r="G88" s="2"/>
      <c r="H88" s="2"/>
      <c r="I88" s="2"/>
      <c r="J88" s="2"/>
      <c r="K88" s="2"/>
      <c r="L88" s="2"/>
      <c r="M88" s="2"/>
      <c r="N88" s="2"/>
      <c r="O88" s="2"/>
      <c r="Q88" s="163"/>
    </row>
    <row r="89" spans="1:17" x14ac:dyDescent="0.2">
      <c r="B89" s="158"/>
      <c r="C89" s="187">
        <v>0.75</v>
      </c>
      <c r="D89" s="14">
        <f t="shared" si="4"/>
        <v>0.8650500000000001</v>
      </c>
      <c r="E89" s="14">
        <f t="shared" si="5"/>
        <v>0.8650500000000001</v>
      </c>
      <c r="F89" s="2"/>
      <c r="G89" s="2"/>
      <c r="H89" s="2"/>
      <c r="I89" s="2"/>
      <c r="J89" s="2"/>
      <c r="K89" s="2"/>
      <c r="L89" s="2"/>
      <c r="M89" s="2"/>
      <c r="N89" s="2"/>
      <c r="O89" s="2"/>
      <c r="Q89" s="163"/>
    </row>
    <row r="90" spans="1:17" x14ac:dyDescent="0.2">
      <c r="B90" s="158"/>
      <c r="C90" s="187">
        <v>0.8</v>
      </c>
      <c r="D90" s="14">
        <f t="shared" si="4"/>
        <v>0.73505000000000009</v>
      </c>
      <c r="E90" s="14">
        <f t="shared" si="5"/>
        <v>0.73505000000000009</v>
      </c>
      <c r="F90" s="2"/>
      <c r="G90" s="2"/>
      <c r="H90" s="2"/>
      <c r="I90" s="2"/>
      <c r="J90" s="2"/>
      <c r="K90" s="2"/>
      <c r="L90" s="2"/>
      <c r="M90" s="2"/>
      <c r="N90" s="2"/>
      <c r="O90" s="2"/>
      <c r="Q90" s="163"/>
    </row>
    <row r="91" spans="1:17" x14ac:dyDescent="0.2">
      <c r="B91" s="158"/>
      <c r="C91" s="187">
        <v>0.85</v>
      </c>
      <c r="D91" s="14">
        <f t="shared" si="4"/>
        <v>0.54505000000000003</v>
      </c>
      <c r="E91" s="14">
        <f t="shared" si="5"/>
        <v>0.54505000000000003</v>
      </c>
      <c r="F91" s="2"/>
      <c r="G91" s="2"/>
      <c r="H91" s="2"/>
      <c r="I91" s="2"/>
      <c r="J91" s="2"/>
      <c r="K91" s="2"/>
      <c r="L91" s="2"/>
      <c r="M91" s="2"/>
      <c r="N91" s="2"/>
      <c r="O91" s="2"/>
      <c r="Q91" s="163"/>
    </row>
    <row r="92" spans="1:17" x14ac:dyDescent="0.2">
      <c r="B92" s="158"/>
      <c r="C92" s="187">
        <v>0.9</v>
      </c>
      <c r="D92" s="14">
        <f t="shared" si="4"/>
        <v>0.33505000000000007</v>
      </c>
      <c r="E92" s="14">
        <f t="shared" si="5"/>
        <v>0.33505000000000007</v>
      </c>
      <c r="F92" s="2"/>
      <c r="G92" s="2"/>
      <c r="H92" s="2"/>
      <c r="I92" s="2"/>
      <c r="J92" s="2"/>
      <c r="K92" s="2"/>
      <c r="L92" s="2"/>
      <c r="M92" s="2"/>
      <c r="N92" s="2"/>
      <c r="O92" s="2"/>
      <c r="Q92" s="163"/>
    </row>
    <row r="93" spans="1:17" x14ac:dyDescent="0.2">
      <c r="B93" s="158"/>
      <c r="C93" s="187">
        <v>0.95</v>
      </c>
      <c r="D93" s="14">
        <f t="shared" si="4"/>
        <v>0.23505000000000006</v>
      </c>
      <c r="E93" s="14">
        <f t="shared" si="5"/>
        <v>0.23505000000000006</v>
      </c>
      <c r="F93" s="2"/>
      <c r="G93" s="2"/>
      <c r="H93" s="2"/>
      <c r="I93" s="2"/>
      <c r="J93" s="2"/>
      <c r="K93" s="2"/>
      <c r="L93" s="2"/>
      <c r="M93" s="2"/>
      <c r="N93" s="2"/>
      <c r="O93" s="2"/>
      <c r="Q93" s="163"/>
    </row>
    <row r="94" spans="1:17" ht="17" thickBot="1" x14ac:dyDescent="0.25">
      <c r="B94" s="158"/>
      <c r="C94" s="188">
        <v>1</v>
      </c>
      <c r="D94" s="15">
        <f t="shared" si="4"/>
        <v>0</v>
      </c>
      <c r="E94" s="15">
        <f t="shared" si="5"/>
        <v>0</v>
      </c>
      <c r="F94" s="2"/>
      <c r="G94" s="2"/>
      <c r="H94" s="2"/>
      <c r="I94" s="2"/>
      <c r="J94" s="2"/>
      <c r="K94" s="2"/>
      <c r="L94" s="2"/>
      <c r="M94" s="2"/>
      <c r="N94" s="2"/>
      <c r="O94" s="2"/>
      <c r="Q94" s="163"/>
    </row>
    <row r="95" spans="1:17" x14ac:dyDescent="0.2">
      <c r="A95" s="2"/>
      <c r="B95" s="158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Q95" s="163"/>
    </row>
    <row r="96" spans="1:17" x14ac:dyDescent="0.2">
      <c r="A96" s="2"/>
      <c r="B96" s="158"/>
      <c r="C96" s="2"/>
      <c r="D96" s="2"/>
      <c r="E96" s="2"/>
      <c r="F96" s="2"/>
      <c r="G96" s="2"/>
      <c r="H96" s="2"/>
      <c r="I96" s="2"/>
      <c r="J96" s="2"/>
      <c r="K96" s="2"/>
      <c r="L96" s="199" t="s">
        <v>14</v>
      </c>
      <c r="M96" s="199">
        <v>31536000</v>
      </c>
      <c r="N96" s="2"/>
      <c r="O96" s="2"/>
      <c r="Q96" s="163"/>
    </row>
    <row r="97" spans="1:17" ht="19" x14ac:dyDescent="0.2">
      <c r="B97" s="158"/>
      <c r="C97" s="20" t="s">
        <v>18</v>
      </c>
      <c r="D97" s="21"/>
      <c r="E97" s="62">
        <f>(M98/2)*(D74+D94+(2*SUM(D75:D93)))</f>
        <v>46828555.379999995</v>
      </c>
      <c r="F97" s="2"/>
      <c r="G97" s="2"/>
      <c r="H97" s="2"/>
      <c r="I97" s="2"/>
      <c r="J97" s="2"/>
      <c r="K97" s="2"/>
      <c r="L97" s="199" t="s">
        <v>15</v>
      </c>
      <c r="M97" s="199">
        <v>20</v>
      </c>
      <c r="N97" s="2"/>
      <c r="O97" s="2"/>
      <c r="Q97" s="163"/>
    </row>
    <row r="98" spans="1:17" ht="19" x14ac:dyDescent="0.2">
      <c r="B98" s="158"/>
      <c r="C98" s="20" t="s">
        <v>19</v>
      </c>
      <c r="D98" s="21"/>
      <c r="E98" s="62">
        <f>(M98/2)*(E74+E94+(2*SUM(E75:E93)))</f>
        <v>43044235.380000003</v>
      </c>
      <c r="F98" s="2"/>
      <c r="G98" s="2"/>
      <c r="H98" s="2"/>
      <c r="I98" s="2"/>
      <c r="J98" s="2"/>
      <c r="K98" s="2"/>
      <c r="L98" s="199" t="s">
        <v>16</v>
      </c>
      <c r="M98" s="199">
        <f>M96/M97</f>
        <v>1576800</v>
      </c>
      <c r="N98" s="2"/>
      <c r="O98" s="2"/>
      <c r="Q98" s="163"/>
    </row>
    <row r="99" spans="1:17" x14ac:dyDescent="0.2">
      <c r="B99" s="158"/>
      <c r="C99" s="20" t="s">
        <v>17</v>
      </c>
      <c r="D99" s="21"/>
      <c r="E99" s="22">
        <f>E98/E97</f>
        <v>0.91918776974238592</v>
      </c>
      <c r="F99" s="2"/>
      <c r="G99" s="2"/>
      <c r="H99" s="2"/>
      <c r="I99" s="2"/>
      <c r="J99" s="2"/>
      <c r="K99" s="2"/>
      <c r="L99" s="2"/>
      <c r="M99" s="2"/>
      <c r="N99" s="2"/>
      <c r="O99" s="2"/>
      <c r="Q99" s="163"/>
    </row>
    <row r="100" spans="1:17" ht="19" x14ac:dyDescent="0.2">
      <c r="B100" s="158"/>
      <c r="C100" s="23" t="s">
        <v>20</v>
      </c>
      <c r="D100" s="21"/>
      <c r="E100" s="24">
        <f>E98/M96</f>
        <v>1.36492375</v>
      </c>
      <c r="F100" s="2"/>
      <c r="G100" s="2"/>
      <c r="H100" s="2"/>
      <c r="I100" s="2"/>
      <c r="J100" s="2"/>
      <c r="K100" s="2"/>
      <c r="L100" s="2"/>
      <c r="M100" s="2"/>
      <c r="N100" s="2"/>
      <c r="O100" s="2"/>
      <c r="Q100" s="163"/>
    </row>
    <row r="101" spans="1:17" x14ac:dyDescent="0.2">
      <c r="A101" s="2"/>
      <c r="B101" s="158"/>
      <c r="C101" s="2"/>
      <c r="D101" s="26"/>
      <c r="E101" s="2"/>
      <c r="F101" s="2"/>
      <c r="G101" s="166"/>
      <c r="H101" s="2"/>
      <c r="I101" s="2"/>
      <c r="J101" s="2"/>
      <c r="K101" s="2"/>
      <c r="L101" s="2"/>
      <c r="M101" s="2"/>
      <c r="N101" s="2"/>
      <c r="O101" s="2"/>
      <c r="Q101" s="163"/>
    </row>
    <row r="102" spans="1:17" ht="24" x14ac:dyDescent="0.3">
      <c r="A102" s="2"/>
      <c r="B102" s="158"/>
      <c r="C102" s="267" t="s">
        <v>270</v>
      </c>
      <c r="D102" s="267"/>
      <c r="E102" s="267"/>
      <c r="F102" s="2"/>
      <c r="G102" s="2"/>
      <c r="H102" s="2"/>
      <c r="I102" s="2"/>
      <c r="J102" s="2"/>
      <c r="K102" s="2"/>
      <c r="L102" s="2"/>
      <c r="M102" s="2"/>
      <c r="N102" s="2"/>
      <c r="O102" s="2"/>
      <c r="Q102" s="163"/>
    </row>
    <row r="103" spans="1:17" ht="17" thickBot="1" x14ac:dyDescent="0.25">
      <c r="A103" s="2"/>
      <c r="B103" s="158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Q103" s="163"/>
    </row>
    <row r="104" spans="1:17" ht="17" thickBot="1" x14ac:dyDescent="0.25">
      <c r="B104" s="158"/>
      <c r="C104" s="25" t="s">
        <v>21</v>
      </c>
      <c r="D104" s="11"/>
      <c r="E104" s="11"/>
      <c r="F104" s="11"/>
      <c r="G104" s="63">
        <f>E98/E97</f>
        <v>0.91918776974238592</v>
      </c>
      <c r="H104" s="2"/>
      <c r="K104" s="25" t="s">
        <v>22</v>
      </c>
      <c r="L104" s="11"/>
      <c r="M104" s="11"/>
      <c r="N104" s="11"/>
      <c r="O104" s="63">
        <f>(E98)/(K69*M96)</f>
        <v>0.61069047672311583</v>
      </c>
      <c r="Q104" s="163"/>
    </row>
    <row r="105" spans="1:17" x14ac:dyDescent="0.2">
      <c r="A105" s="2"/>
      <c r="B105" s="158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Q105" s="163"/>
    </row>
    <row r="106" spans="1:17" hidden="1" x14ac:dyDescent="0.2">
      <c r="A106" s="2"/>
      <c r="B106" s="158"/>
      <c r="C106" s="2" t="s">
        <v>23</v>
      </c>
      <c r="D106" s="2" t="s">
        <v>24</v>
      </c>
      <c r="E106" s="2" t="s">
        <v>25</v>
      </c>
      <c r="F106" s="2" t="s">
        <v>26</v>
      </c>
      <c r="G106" s="2" t="s">
        <v>27</v>
      </c>
      <c r="H106" s="2" t="s">
        <v>30</v>
      </c>
      <c r="I106" s="2" t="s">
        <v>28</v>
      </c>
      <c r="J106" s="2" t="s">
        <v>31</v>
      </c>
      <c r="K106" s="2" t="s">
        <v>32</v>
      </c>
      <c r="L106" s="2" t="s">
        <v>33</v>
      </c>
      <c r="M106" s="2" t="s">
        <v>29</v>
      </c>
      <c r="N106" s="2"/>
      <c r="O106" s="2"/>
      <c r="Q106" s="163"/>
    </row>
    <row r="107" spans="1:17" hidden="1" x14ac:dyDescent="0.2">
      <c r="A107" s="2"/>
      <c r="B107" s="158"/>
      <c r="C107" s="2">
        <f t="shared" ref="C107:C126" si="6">IF(D74&gt;0,0,D74)</f>
        <v>0</v>
      </c>
      <c r="D107" s="2">
        <f t="shared" ref="D107:D126" si="7">IF(D74&gt;0.5,0.5,D74)</f>
        <v>0.5</v>
      </c>
      <c r="E107" s="2">
        <f t="shared" ref="E107:E126" si="8">IF(D74&gt;1,1,D74)</f>
        <v>1</v>
      </c>
      <c r="F107" s="2">
        <f t="shared" ref="F107:F126" si="9">IF(D74&gt;1.5,1.5,D74)</f>
        <v>1.5</v>
      </c>
      <c r="G107" s="2">
        <f t="shared" ref="G107:G126" si="10">IF(D74&gt;2,2,D74)</f>
        <v>2</v>
      </c>
      <c r="H107" s="2">
        <f t="shared" ref="H107:H126" si="11">IF(D74&gt;2.5,2.5,D74)</f>
        <v>2.5</v>
      </c>
      <c r="I107" s="2">
        <f t="shared" ref="I107:I126" si="12">IF(D74&gt;3,3,D74)</f>
        <v>3</v>
      </c>
      <c r="J107" s="2">
        <f t="shared" ref="J107:J126" si="13">IF(D74&gt;3.5,3.5,D74)</f>
        <v>3.5</v>
      </c>
      <c r="K107" s="2">
        <f t="shared" ref="K107:K126" si="14">IF(D74&gt;4,4,D74)</f>
        <v>4</v>
      </c>
      <c r="L107" s="2">
        <f t="shared" ref="L107:L126" si="15">IF(D74&gt;4.5,4.5,D74)</f>
        <v>4.4350499999999995</v>
      </c>
      <c r="M107" s="2">
        <f>IF(D74&gt;5,5,D74)</f>
        <v>4.4350499999999995</v>
      </c>
      <c r="N107" s="2"/>
      <c r="O107" s="2"/>
      <c r="Q107" s="163"/>
    </row>
    <row r="108" spans="1:17" hidden="1" x14ac:dyDescent="0.2">
      <c r="A108" s="2"/>
      <c r="B108" s="158"/>
      <c r="C108" s="2">
        <f t="shared" si="6"/>
        <v>0</v>
      </c>
      <c r="D108" s="2">
        <f t="shared" si="7"/>
        <v>0.5</v>
      </c>
      <c r="E108" s="2">
        <f t="shared" si="8"/>
        <v>1</v>
      </c>
      <c r="F108" s="2">
        <f t="shared" si="9"/>
        <v>1.5</v>
      </c>
      <c r="G108" s="2">
        <f t="shared" si="10"/>
        <v>2</v>
      </c>
      <c r="H108" s="2">
        <f t="shared" si="11"/>
        <v>2.5</v>
      </c>
      <c r="I108" s="2">
        <f t="shared" si="12"/>
        <v>3</v>
      </c>
      <c r="J108" s="2">
        <f t="shared" si="13"/>
        <v>3.1850499999999999</v>
      </c>
      <c r="K108" s="2">
        <f t="shared" si="14"/>
        <v>3.1850499999999999</v>
      </c>
      <c r="L108" s="2">
        <f t="shared" si="15"/>
        <v>3.1850499999999999</v>
      </c>
      <c r="M108" s="2">
        <f t="shared" ref="M108:M126" si="16">IF(D75&gt;5,5,D75)</f>
        <v>3.1850499999999999</v>
      </c>
      <c r="N108" s="2"/>
      <c r="O108" s="2"/>
      <c r="Q108" s="163"/>
    </row>
    <row r="109" spans="1:17" hidden="1" x14ac:dyDescent="0.2">
      <c r="A109" s="2"/>
      <c r="B109" s="158"/>
      <c r="C109" s="2">
        <f t="shared" si="6"/>
        <v>0</v>
      </c>
      <c r="D109" s="2">
        <f t="shared" si="7"/>
        <v>0.5</v>
      </c>
      <c r="E109" s="2">
        <f t="shared" si="8"/>
        <v>1</v>
      </c>
      <c r="F109" s="2">
        <f t="shared" si="9"/>
        <v>1.5</v>
      </c>
      <c r="G109" s="2">
        <f t="shared" si="10"/>
        <v>2</v>
      </c>
      <c r="H109" s="2">
        <f t="shared" si="11"/>
        <v>2.5</v>
      </c>
      <c r="I109" s="2">
        <f t="shared" si="12"/>
        <v>2.5850499999999998</v>
      </c>
      <c r="J109" s="2">
        <f t="shared" si="13"/>
        <v>2.5850499999999998</v>
      </c>
      <c r="K109" s="2">
        <f t="shared" si="14"/>
        <v>2.5850499999999998</v>
      </c>
      <c r="L109" s="2">
        <f t="shared" si="15"/>
        <v>2.5850499999999998</v>
      </c>
      <c r="M109" s="2">
        <f t="shared" si="16"/>
        <v>2.5850499999999998</v>
      </c>
      <c r="N109" s="2"/>
      <c r="O109" s="2"/>
      <c r="Q109" s="163"/>
    </row>
    <row r="110" spans="1:17" hidden="1" x14ac:dyDescent="0.2">
      <c r="A110" s="2"/>
      <c r="B110" s="158"/>
      <c r="C110" s="2">
        <f t="shared" si="6"/>
        <v>0</v>
      </c>
      <c r="D110" s="2">
        <f t="shared" si="7"/>
        <v>0.5</v>
      </c>
      <c r="E110" s="2">
        <f t="shared" si="8"/>
        <v>1</v>
      </c>
      <c r="F110" s="2">
        <f t="shared" si="9"/>
        <v>1.5</v>
      </c>
      <c r="G110" s="2">
        <f t="shared" si="10"/>
        <v>2</v>
      </c>
      <c r="H110" s="2">
        <f t="shared" si="11"/>
        <v>2.2350499999999998</v>
      </c>
      <c r="I110" s="2">
        <f t="shared" si="12"/>
        <v>2.2350499999999998</v>
      </c>
      <c r="J110" s="2">
        <f t="shared" si="13"/>
        <v>2.2350499999999998</v>
      </c>
      <c r="K110" s="2">
        <f t="shared" si="14"/>
        <v>2.2350499999999998</v>
      </c>
      <c r="L110" s="2">
        <f t="shared" si="15"/>
        <v>2.2350499999999998</v>
      </c>
      <c r="M110" s="2">
        <f t="shared" si="16"/>
        <v>2.2350499999999998</v>
      </c>
      <c r="N110" s="2"/>
      <c r="O110" s="2"/>
      <c r="Q110" s="163"/>
    </row>
    <row r="111" spans="1:17" hidden="1" x14ac:dyDescent="0.2">
      <c r="A111" s="2"/>
      <c r="B111" s="158"/>
      <c r="C111" s="2">
        <f t="shared" si="6"/>
        <v>0</v>
      </c>
      <c r="D111" s="2">
        <f t="shared" si="7"/>
        <v>0.5</v>
      </c>
      <c r="E111" s="2">
        <f t="shared" si="8"/>
        <v>1</v>
      </c>
      <c r="F111" s="2">
        <f t="shared" si="9"/>
        <v>1.5</v>
      </c>
      <c r="G111" s="2">
        <f t="shared" si="10"/>
        <v>2</v>
      </c>
      <c r="H111" s="2">
        <f t="shared" si="11"/>
        <v>2.0850499999999998</v>
      </c>
      <c r="I111" s="2">
        <f t="shared" si="12"/>
        <v>2.0850499999999998</v>
      </c>
      <c r="J111" s="2">
        <f t="shared" si="13"/>
        <v>2.0850499999999998</v>
      </c>
      <c r="K111" s="2">
        <f t="shared" si="14"/>
        <v>2.0850499999999998</v>
      </c>
      <c r="L111" s="2">
        <f t="shared" si="15"/>
        <v>2.0850499999999998</v>
      </c>
      <c r="M111" s="2">
        <f t="shared" si="16"/>
        <v>2.0850499999999998</v>
      </c>
      <c r="N111" s="2"/>
      <c r="O111" s="2"/>
      <c r="Q111" s="163"/>
    </row>
    <row r="112" spans="1:17" hidden="1" x14ac:dyDescent="0.2">
      <c r="A112" s="2"/>
      <c r="B112" s="158"/>
      <c r="C112" s="2">
        <f t="shared" si="6"/>
        <v>0</v>
      </c>
      <c r="D112" s="2">
        <f t="shared" si="7"/>
        <v>0.5</v>
      </c>
      <c r="E112" s="2">
        <f t="shared" si="8"/>
        <v>1</v>
      </c>
      <c r="F112" s="2">
        <f t="shared" si="9"/>
        <v>1.5</v>
      </c>
      <c r="G112" s="2">
        <f t="shared" si="10"/>
        <v>1.9600500000000001</v>
      </c>
      <c r="H112" s="2">
        <f t="shared" si="11"/>
        <v>1.9600500000000001</v>
      </c>
      <c r="I112" s="2">
        <f t="shared" si="12"/>
        <v>1.9600500000000001</v>
      </c>
      <c r="J112" s="2">
        <f t="shared" si="13"/>
        <v>1.9600500000000001</v>
      </c>
      <c r="K112" s="2">
        <f t="shared" si="14"/>
        <v>1.9600500000000001</v>
      </c>
      <c r="L112" s="2">
        <f t="shared" si="15"/>
        <v>1.9600500000000001</v>
      </c>
      <c r="M112" s="2">
        <f t="shared" si="16"/>
        <v>1.9600500000000001</v>
      </c>
      <c r="N112" s="2"/>
      <c r="O112" s="2"/>
      <c r="Q112" s="163"/>
    </row>
    <row r="113" spans="1:17" hidden="1" x14ac:dyDescent="0.2">
      <c r="A113" s="2"/>
      <c r="B113" s="158"/>
      <c r="C113" s="2">
        <f t="shared" si="6"/>
        <v>0</v>
      </c>
      <c r="D113" s="2">
        <f t="shared" si="7"/>
        <v>0.5</v>
      </c>
      <c r="E113" s="2">
        <f t="shared" si="8"/>
        <v>1</v>
      </c>
      <c r="F113" s="2">
        <f t="shared" si="9"/>
        <v>1.5</v>
      </c>
      <c r="G113" s="2">
        <f t="shared" si="10"/>
        <v>1.8350500000000001</v>
      </c>
      <c r="H113" s="2">
        <f t="shared" si="11"/>
        <v>1.8350500000000001</v>
      </c>
      <c r="I113" s="2">
        <f t="shared" si="12"/>
        <v>1.8350500000000001</v>
      </c>
      <c r="J113" s="2">
        <f t="shared" si="13"/>
        <v>1.8350500000000001</v>
      </c>
      <c r="K113" s="2">
        <f t="shared" si="14"/>
        <v>1.8350500000000001</v>
      </c>
      <c r="L113" s="2">
        <f t="shared" si="15"/>
        <v>1.8350500000000001</v>
      </c>
      <c r="M113" s="2">
        <f t="shared" si="16"/>
        <v>1.8350500000000001</v>
      </c>
      <c r="N113" s="2"/>
      <c r="O113" s="2"/>
      <c r="Q113" s="163"/>
    </row>
    <row r="114" spans="1:17" hidden="1" x14ac:dyDescent="0.2">
      <c r="A114" s="2"/>
      <c r="B114" s="158"/>
      <c r="C114" s="2">
        <f t="shared" si="6"/>
        <v>0</v>
      </c>
      <c r="D114" s="2">
        <f t="shared" si="7"/>
        <v>0.5</v>
      </c>
      <c r="E114" s="2">
        <f t="shared" si="8"/>
        <v>1</v>
      </c>
      <c r="F114" s="2">
        <f t="shared" si="9"/>
        <v>1.5</v>
      </c>
      <c r="G114" s="2">
        <f t="shared" si="10"/>
        <v>1.73505</v>
      </c>
      <c r="H114" s="2">
        <f t="shared" si="11"/>
        <v>1.73505</v>
      </c>
      <c r="I114" s="2">
        <f t="shared" si="12"/>
        <v>1.73505</v>
      </c>
      <c r="J114" s="2">
        <f t="shared" si="13"/>
        <v>1.73505</v>
      </c>
      <c r="K114" s="2">
        <f t="shared" si="14"/>
        <v>1.73505</v>
      </c>
      <c r="L114" s="2">
        <f t="shared" si="15"/>
        <v>1.73505</v>
      </c>
      <c r="M114" s="2">
        <f t="shared" si="16"/>
        <v>1.73505</v>
      </c>
      <c r="N114" s="2"/>
      <c r="O114" s="2"/>
      <c r="Q114" s="163"/>
    </row>
    <row r="115" spans="1:17" hidden="1" x14ac:dyDescent="0.2">
      <c r="A115" s="2"/>
      <c r="B115" s="158"/>
      <c r="C115" s="2">
        <f t="shared" si="6"/>
        <v>0</v>
      </c>
      <c r="D115" s="2">
        <f t="shared" si="7"/>
        <v>0.5</v>
      </c>
      <c r="E115" s="2">
        <f t="shared" si="8"/>
        <v>1</v>
      </c>
      <c r="F115" s="2">
        <f t="shared" si="9"/>
        <v>1.5</v>
      </c>
      <c r="G115" s="2">
        <f t="shared" si="10"/>
        <v>1.6150500000000001</v>
      </c>
      <c r="H115" s="2">
        <f t="shared" si="11"/>
        <v>1.6150500000000001</v>
      </c>
      <c r="I115" s="2">
        <f t="shared" si="12"/>
        <v>1.6150500000000001</v>
      </c>
      <c r="J115" s="2">
        <f t="shared" si="13"/>
        <v>1.6150500000000001</v>
      </c>
      <c r="K115" s="2">
        <f t="shared" si="14"/>
        <v>1.6150500000000001</v>
      </c>
      <c r="L115" s="2">
        <f t="shared" si="15"/>
        <v>1.6150500000000001</v>
      </c>
      <c r="M115" s="2">
        <f t="shared" si="16"/>
        <v>1.6150500000000001</v>
      </c>
      <c r="N115" s="2"/>
      <c r="O115" s="2"/>
      <c r="Q115" s="163"/>
    </row>
    <row r="116" spans="1:17" hidden="1" x14ac:dyDescent="0.2">
      <c r="A116" s="2"/>
      <c r="B116" s="158"/>
      <c r="C116" s="2">
        <f t="shared" si="6"/>
        <v>0</v>
      </c>
      <c r="D116" s="2">
        <f t="shared" si="7"/>
        <v>0.5</v>
      </c>
      <c r="E116" s="2">
        <f t="shared" si="8"/>
        <v>1</v>
      </c>
      <c r="F116" s="2">
        <f t="shared" si="9"/>
        <v>1.5</v>
      </c>
      <c r="G116" s="2">
        <f t="shared" si="10"/>
        <v>1.51505</v>
      </c>
      <c r="H116" s="2">
        <f t="shared" si="11"/>
        <v>1.51505</v>
      </c>
      <c r="I116" s="2">
        <f t="shared" si="12"/>
        <v>1.51505</v>
      </c>
      <c r="J116" s="2">
        <f t="shared" si="13"/>
        <v>1.51505</v>
      </c>
      <c r="K116" s="2">
        <f t="shared" si="14"/>
        <v>1.51505</v>
      </c>
      <c r="L116" s="2">
        <f t="shared" si="15"/>
        <v>1.51505</v>
      </c>
      <c r="M116" s="2">
        <f t="shared" si="16"/>
        <v>1.51505</v>
      </c>
      <c r="N116" s="2"/>
      <c r="O116" s="2"/>
      <c r="Q116" s="163"/>
    </row>
    <row r="117" spans="1:17" hidden="1" x14ac:dyDescent="0.2">
      <c r="A117" s="2"/>
      <c r="B117" s="158"/>
      <c r="C117" s="2">
        <f t="shared" si="6"/>
        <v>0</v>
      </c>
      <c r="D117" s="2">
        <f t="shared" si="7"/>
        <v>0.5</v>
      </c>
      <c r="E117" s="2">
        <f t="shared" si="8"/>
        <v>1</v>
      </c>
      <c r="F117" s="2">
        <f t="shared" si="9"/>
        <v>1.4150500000000001</v>
      </c>
      <c r="G117" s="2">
        <f t="shared" si="10"/>
        <v>1.4150500000000001</v>
      </c>
      <c r="H117" s="2">
        <f t="shared" si="11"/>
        <v>1.4150500000000001</v>
      </c>
      <c r="I117" s="2">
        <f t="shared" si="12"/>
        <v>1.4150500000000001</v>
      </c>
      <c r="J117" s="2">
        <f t="shared" si="13"/>
        <v>1.4150500000000001</v>
      </c>
      <c r="K117" s="2">
        <f t="shared" si="14"/>
        <v>1.4150500000000001</v>
      </c>
      <c r="L117" s="2">
        <f t="shared" si="15"/>
        <v>1.4150500000000001</v>
      </c>
      <c r="M117" s="2">
        <f t="shared" si="16"/>
        <v>1.4150500000000001</v>
      </c>
      <c r="N117" s="2"/>
      <c r="O117" s="2"/>
      <c r="Q117" s="163"/>
    </row>
    <row r="118" spans="1:17" hidden="1" x14ac:dyDescent="0.2">
      <c r="A118" s="2"/>
      <c r="B118" s="158"/>
      <c r="C118" s="2">
        <f t="shared" si="6"/>
        <v>0</v>
      </c>
      <c r="D118" s="2">
        <f t="shared" si="7"/>
        <v>0.5</v>
      </c>
      <c r="E118" s="2">
        <f t="shared" si="8"/>
        <v>1</v>
      </c>
      <c r="F118" s="2">
        <f t="shared" si="9"/>
        <v>1.3150500000000001</v>
      </c>
      <c r="G118" s="2">
        <f t="shared" si="10"/>
        <v>1.3150500000000001</v>
      </c>
      <c r="H118" s="2">
        <f t="shared" si="11"/>
        <v>1.3150500000000001</v>
      </c>
      <c r="I118" s="2">
        <f t="shared" si="12"/>
        <v>1.3150500000000001</v>
      </c>
      <c r="J118" s="2">
        <f t="shared" si="13"/>
        <v>1.3150500000000001</v>
      </c>
      <c r="K118" s="2">
        <f t="shared" si="14"/>
        <v>1.3150500000000001</v>
      </c>
      <c r="L118" s="2">
        <f t="shared" si="15"/>
        <v>1.3150500000000001</v>
      </c>
      <c r="M118" s="2">
        <f t="shared" si="16"/>
        <v>1.3150500000000001</v>
      </c>
      <c r="N118" s="2"/>
      <c r="O118" s="2"/>
      <c r="Q118" s="163"/>
    </row>
    <row r="119" spans="1:17" hidden="1" x14ac:dyDescent="0.2">
      <c r="A119" s="2"/>
      <c r="B119" s="158"/>
      <c r="C119" s="2">
        <f t="shared" si="6"/>
        <v>0</v>
      </c>
      <c r="D119" s="2">
        <f t="shared" si="7"/>
        <v>0.5</v>
      </c>
      <c r="E119" s="2">
        <f t="shared" si="8"/>
        <v>1</v>
      </c>
      <c r="F119" s="2">
        <f t="shared" si="9"/>
        <v>1.2050500000000002</v>
      </c>
      <c r="G119" s="2">
        <f t="shared" si="10"/>
        <v>1.2050500000000002</v>
      </c>
      <c r="H119" s="2">
        <f t="shared" si="11"/>
        <v>1.2050500000000002</v>
      </c>
      <c r="I119" s="2">
        <f t="shared" si="12"/>
        <v>1.2050500000000002</v>
      </c>
      <c r="J119" s="2">
        <f t="shared" si="13"/>
        <v>1.2050500000000002</v>
      </c>
      <c r="K119" s="2">
        <f t="shared" si="14"/>
        <v>1.2050500000000002</v>
      </c>
      <c r="L119" s="2">
        <f t="shared" si="15"/>
        <v>1.2050500000000002</v>
      </c>
      <c r="M119" s="2">
        <f t="shared" si="16"/>
        <v>1.2050500000000002</v>
      </c>
      <c r="N119" s="2"/>
      <c r="O119" s="2"/>
      <c r="Q119" s="163"/>
    </row>
    <row r="120" spans="1:17" hidden="1" x14ac:dyDescent="0.2">
      <c r="A120" s="2"/>
      <c r="B120" s="158"/>
      <c r="C120" s="2">
        <f t="shared" si="6"/>
        <v>0</v>
      </c>
      <c r="D120" s="2">
        <f t="shared" si="7"/>
        <v>0.5</v>
      </c>
      <c r="E120" s="2">
        <f t="shared" si="8"/>
        <v>1</v>
      </c>
      <c r="F120" s="2">
        <f t="shared" si="9"/>
        <v>1.0950500000000001</v>
      </c>
      <c r="G120" s="2">
        <f t="shared" si="10"/>
        <v>1.0950500000000001</v>
      </c>
      <c r="H120" s="2">
        <f t="shared" si="11"/>
        <v>1.0950500000000001</v>
      </c>
      <c r="I120" s="2">
        <f t="shared" si="12"/>
        <v>1.0950500000000001</v>
      </c>
      <c r="J120" s="2">
        <f t="shared" si="13"/>
        <v>1.0950500000000001</v>
      </c>
      <c r="K120" s="2">
        <f t="shared" si="14"/>
        <v>1.0950500000000001</v>
      </c>
      <c r="L120" s="2">
        <f t="shared" si="15"/>
        <v>1.0950500000000001</v>
      </c>
      <c r="M120" s="2">
        <f t="shared" si="16"/>
        <v>1.0950500000000001</v>
      </c>
      <c r="N120" s="2"/>
      <c r="O120" s="2"/>
      <c r="Q120" s="163"/>
    </row>
    <row r="121" spans="1:17" hidden="1" x14ac:dyDescent="0.2">
      <c r="A121" s="2"/>
      <c r="B121" s="158"/>
      <c r="C121" s="2">
        <f t="shared" si="6"/>
        <v>0</v>
      </c>
      <c r="D121" s="2">
        <f t="shared" si="7"/>
        <v>0.5</v>
      </c>
      <c r="E121" s="2">
        <f t="shared" si="8"/>
        <v>0.98504999999999998</v>
      </c>
      <c r="F121" s="2">
        <f t="shared" si="9"/>
        <v>0.98504999999999998</v>
      </c>
      <c r="G121" s="2">
        <f t="shared" si="10"/>
        <v>0.98504999999999998</v>
      </c>
      <c r="H121" s="2">
        <f t="shared" si="11"/>
        <v>0.98504999999999998</v>
      </c>
      <c r="I121" s="2">
        <f t="shared" si="12"/>
        <v>0.98504999999999998</v>
      </c>
      <c r="J121" s="2">
        <f t="shared" si="13"/>
        <v>0.98504999999999998</v>
      </c>
      <c r="K121" s="2">
        <f t="shared" si="14"/>
        <v>0.98504999999999998</v>
      </c>
      <c r="L121" s="2">
        <f t="shared" si="15"/>
        <v>0.98504999999999998</v>
      </c>
      <c r="M121" s="2">
        <f t="shared" si="16"/>
        <v>0.98504999999999998</v>
      </c>
      <c r="N121" s="2"/>
      <c r="O121" s="2"/>
      <c r="Q121" s="163"/>
    </row>
    <row r="122" spans="1:17" hidden="1" x14ac:dyDescent="0.2">
      <c r="A122" s="2"/>
      <c r="B122" s="158"/>
      <c r="C122" s="2">
        <f t="shared" si="6"/>
        <v>0</v>
      </c>
      <c r="D122" s="2">
        <f t="shared" si="7"/>
        <v>0.5</v>
      </c>
      <c r="E122" s="2">
        <f t="shared" si="8"/>
        <v>0.8650500000000001</v>
      </c>
      <c r="F122" s="2">
        <f t="shared" si="9"/>
        <v>0.8650500000000001</v>
      </c>
      <c r="G122" s="2">
        <f t="shared" si="10"/>
        <v>0.8650500000000001</v>
      </c>
      <c r="H122" s="2">
        <f t="shared" si="11"/>
        <v>0.8650500000000001</v>
      </c>
      <c r="I122" s="2">
        <f t="shared" si="12"/>
        <v>0.8650500000000001</v>
      </c>
      <c r="J122" s="2">
        <f t="shared" si="13"/>
        <v>0.8650500000000001</v>
      </c>
      <c r="K122" s="2">
        <f t="shared" si="14"/>
        <v>0.8650500000000001</v>
      </c>
      <c r="L122" s="2">
        <f t="shared" si="15"/>
        <v>0.8650500000000001</v>
      </c>
      <c r="M122" s="2">
        <f t="shared" si="16"/>
        <v>0.8650500000000001</v>
      </c>
      <c r="N122" s="2"/>
      <c r="O122" s="2"/>
      <c r="Q122" s="163"/>
    </row>
    <row r="123" spans="1:17" hidden="1" x14ac:dyDescent="0.2">
      <c r="A123" s="2"/>
      <c r="B123" s="158"/>
      <c r="C123" s="2">
        <f t="shared" si="6"/>
        <v>0</v>
      </c>
      <c r="D123" s="2">
        <f t="shared" si="7"/>
        <v>0.5</v>
      </c>
      <c r="E123" s="2">
        <f t="shared" si="8"/>
        <v>0.73505000000000009</v>
      </c>
      <c r="F123" s="2">
        <f t="shared" si="9"/>
        <v>0.73505000000000009</v>
      </c>
      <c r="G123" s="2">
        <f t="shared" si="10"/>
        <v>0.73505000000000009</v>
      </c>
      <c r="H123" s="2">
        <f t="shared" si="11"/>
        <v>0.73505000000000009</v>
      </c>
      <c r="I123" s="2">
        <f t="shared" si="12"/>
        <v>0.73505000000000009</v>
      </c>
      <c r="J123" s="2">
        <f t="shared" si="13"/>
        <v>0.73505000000000009</v>
      </c>
      <c r="K123" s="2">
        <f t="shared" si="14"/>
        <v>0.73505000000000009</v>
      </c>
      <c r="L123" s="2">
        <f t="shared" si="15"/>
        <v>0.73505000000000009</v>
      </c>
      <c r="M123" s="2">
        <f t="shared" si="16"/>
        <v>0.73505000000000009</v>
      </c>
      <c r="N123" s="2"/>
      <c r="O123" s="2"/>
      <c r="Q123" s="163"/>
    </row>
    <row r="124" spans="1:17" hidden="1" x14ac:dyDescent="0.2">
      <c r="A124" s="2"/>
      <c r="B124" s="158"/>
      <c r="C124" s="2">
        <f t="shared" si="6"/>
        <v>0</v>
      </c>
      <c r="D124" s="2">
        <f t="shared" si="7"/>
        <v>0.5</v>
      </c>
      <c r="E124" s="2">
        <f t="shared" si="8"/>
        <v>0.54505000000000003</v>
      </c>
      <c r="F124" s="2">
        <f t="shared" si="9"/>
        <v>0.54505000000000003</v>
      </c>
      <c r="G124" s="2">
        <f t="shared" si="10"/>
        <v>0.54505000000000003</v>
      </c>
      <c r="H124" s="2">
        <f t="shared" si="11"/>
        <v>0.54505000000000003</v>
      </c>
      <c r="I124" s="2">
        <f t="shared" si="12"/>
        <v>0.54505000000000003</v>
      </c>
      <c r="J124" s="2">
        <f t="shared" si="13"/>
        <v>0.54505000000000003</v>
      </c>
      <c r="K124" s="2">
        <f t="shared" si="14"/>
        <v>0.54505000000000003</v>
      </c>
      <c r="L124" s="2">
        <f t="shared" si="15"/>
        <v>0.54505000000000003</v>
      </c>
      <c r="M124" s="2">
        <f t="shared" si="16"/>
        <v>0.54505000000000003</v>
      </c>
      <c r="N124" s="2"/>
      <c r="O124" s="2"/>
      <c r="Q124" s="163"/>
    </row>
    <row r="125" spans="1:17" hidden="1" x14ac:dyDescent="0.2">
      <c r="A125" s="2"/>
      <c r="B125" s="158"/>
      <c r="C125" s="2">
        <f t="shared" si="6"/>
        <v>0</v>
      </c>
      <c r="D125" s="2">
        <f t="shared" si="7"/>
        <v>0.33505000000000007</v>
      </c>
      <c r="E125" s="2">
        <f t="shared" si="8"/>
        <v>0.33505000000000007</v>
      </c>
      <c r="F125" s="2">
        <f t="shared" si="9"/>
        <v>0.33505000000000007</v>
      </c>
      <c r="G125" s="2">
        <f t="shared" si="10"/>
        <v>0.33505000000000007</v>
      </c>
      <c r="H125" s="2">
        <f t="shared" si="11"/>
        <v>0.33505000000000007</v>
      </c>
      <c r="I125" s="2">
        <f t="shared" si="12"/>
        <v>0.33505000000000007</v>
      </c>
      <c r="J125" s="2">
        <f t="shared" si="13"/>
        <v>0.33505000000000007</v>
      </c>
      <c r="K125" s="2">
        <f t="shared" si="14"/>
        <v>0.33505000000000007</v>
      </c>
      <c r="L125" s="2">
        <f t="shared" si="15"/>
        <v>0.33505000000000007</v>
      </c>
      <c r="M125" s="2">
        <f t="shared" si="16"/>
        <v>0.33505000000000007</v>
      </c>
      <c r="N125" s="2"/>
      <c r="O125" s="2"/>
      <c r="Q125" s="163"/>
    </row>
    <row r="126" spans="1:17" hidden="1" x14ac:dyDescent="0.2">
      <c r="A126" s="2"/>
      <c r="B126" s="158"/>
      <c r="C126" s="2">
        <f t="shared" si="6"/>
        <v>0</v>
      </c>
      <c r="D126" s="2">
        <f t="shared" si="7"/>
        <v>0.23505000000000006</v>
      </c>
      <c r="E126" s="2">
        <f t="shared" si="8"/>
        <v>0.23505000000000006</v>
      </c>
      <c r="F126" s="2">
        <f t="shared" si="9"/>
        <v>0.23505000000000006</v>
      </c>
      <c r="G126" s="2">
        <f t="shared" si="10"/>
        <v>0.23505000000000006</v>
      </c>
      <c r="H126" s="2">
        <f t="shared" si="11"/>
        <v>0.23505000000000006</v>
      </c>
      <c r="I126" s="2">
        <f t="shared" si="12"/>
        <v>0.23505000000000006</v>
      </c>
      <c r="J126" s="2">
        <f t="shared" si="13"/>
        <v>0.23505000000000006</v>
      </c>
      <c r="K126" s="2">
        <f t="shared" si="14"/>
        <v>0.23505000000000006</v>
      </c>
      <c r="L126" s="2">
        <f t="shared" si="15"/>
        <v>0.23505000000000006</v>
      </c>
      <c r="M126" s="2">
        <f t="shared" si="16"/>
        <v>0.23505000000000006</v>
      </c>
      <c r="N126" s="2"/>
      <c r="O126" s="2"/>
      <c r="Q126" s="163"/>
    </row>
    <row r="127" spans="1:17" hidden="1" x14ac:dyDescent="0.2">
      <c r="A127" s="2"/>
      <c r="B127" s="158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Q127" s="163"/>
    </row>
    <row r="128" spans="1:17" hidden="1" x14ac:dyDescent="0.2">
      <c r="A128" s="2"/>
      <c r="B128" s="158"/>
      <c r="C128" s="2">
        <f>($M$98/2)*(C107+C126+(2*SUM(C108:C125)))</f>
        <v>0</v>
      </c>
      <c r="D128" s="2">
        <f t="shared" ref="D128:M128" si="17">($M$98/2)*(D107+D126+(2*SUM(D108:D125)))</f>
        <v>14510620.260000002</v>
      </c>
      <c r="E128" s="2">
        <f t="shared" si="17"/>
        <v>26936119.619999997</v>
      </c>
      <c r="F128" s="2">
        <f t="shared" si="17"/>
        <v>36050338.980000004</v>
      </c>
      <c r="G128" s="2">
        <f t="shared" si="17"/>
        <v>41427621.180000007</v>
      </c>
      <c r="H128" s="2">
        <f t="shared" si="17"/>
        <v>43903354.859999999</v>
      </c>
      <c r="I128" s="2">
        <f t="shared" si="17"/>
        <v>45220061.700000003</v>
      </c>
      <c r="J128" s="2">
        <f t="shared" si="17"/>
        <v>45906048.539999999</v>
      </c>
      <c r="K128" s="2">
        <f t="shared" si="17"/>
        <v>46300248.539999999</v>
      </c>
      <c r="L128" s="2">
        <f t="shared" si="17"/>
        <v>46643241.959999993</v>
      </c>
      <c r="M128" s="2">
        <f t="shared" si="17"/>
        <v>46643241.959999993</v>
      </c>
      <c r="N128" s="2"/>
      <c r="O128" s="2"/>
      <c r="Q128" s="163"/>
    </row>
    <row r="129" spans="1:17" hidden="1" x14ac:dyDescent="0.2">
      <c r="A129" s="2"/>
      <c r="B129" s="158"/>
      <c r="C129" s="2">
        <f>C107*$M$96</f>
        <v>0</v>
      </c>
      <c r="D129" s="2">
        <f t="shared" ref="D129:M129" si="18">D107*$M$96</f>
        <v>15768000</v>
      </c>
      <c r="E129" s="2">
        <f t="shared" si="18"/>
        <v>31536000</v>
      </c>
      <c r="F129" s="2">
        <f t="shared" si="18"/>
        <v>47304000</v>
      </c>
      <c r="G129" s="2">
        <f t="shared" si="18"/>
        <v>63072000</v>
      </c>
      <c r="H129" s="2">
        <f t="shared" si="18"/>
        <v>78840000</v>
      </c>
      <c r="I129" s="2">
        <f t="shared" si="18"/>
        <v>94608000</v>
      </c>
      <c r="J129" s="2">
        <f t="shared" si="18"/>
        <v>110376000</v>
      </c>
      <c r="K129" s="2">
        <f t="shared" si="18"/>
        <v>126144000</v>
      </c>
      <c r="L129" s="2">
        <f t="shared" si="18"/>
        <v>139863736.79999998</v>
      </c>
      <c r="M129" s="2">
        <f t="shared" si="18"/>
        <v>139863736.79999998</v>
      </c>
      <c r="N129" s="2"/>
      <c r="O129" s="2"/>
      <c r="Q129" s="163"/>
    </row>
    <row r="130" spans="1:17" hidden="1" x14ac:dyDescent="0.2">
      <c r="A130" s="2"/>
      <c r="B130" s="158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Q130" s="163"/>
    </row>
    <row r="131" spans="1:17" hidden="1" x14ac:dyDescent="0.2">
      <c r="A131" s="2"/>
      <c r="B131" s="158"/>
      <c r="C131" s="2" t="s">
        <v>34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Q131" s="163"/>
    </row>
    <row r="132" spans="1:17" hidden="1" x14ac:dyDescent="0.2">
      <c r="A132" s="2"/>
      <c r="B132" s="158"/>
      <c r="C132" s="2">
        <f>C128/$E$97</f>
        <v>0</v>
      </c>
      <c r="D132" s="2">
        <f t="shared" ref="D132:L132" si="19">D128/$E$97</f>
        <v>0.30986692077623523</v>
      </c>
      <c r="E132" s="2">
        <f t="shared" si="19"/>
        <v>0.57520714447458998</v>
      </c>
      <c r="F132" s="2">
        <f t="shared" si="19"/>
        <v>0.76983666669753259</v>
      </c>
      <c r="G132" s="2">
        <f t="shared" si="19"/>
        <v>0.8846657951292114</v>
      </c>
      <c r="H132" s="2">
        <f t="shared" si="19"/>
        <v>0.93753382959899467</v>
      </c>
      <c r="I132" s="2">
        <f t="shared" si="19"/>
        <v>0.96565143496425343</v>
      </c>
      <c r="J132" s="2">
        <f t="shared" si="19"/>
        <v>0.98030033528657623</v>
      </c>
      <c r="K132" s="2">
        <f t="shared" si="19"/>
        <v>0.98871827593841111</v>
      </c>
      <c r="L132" s="2">
        <f t="shared" si="19"/>
        <v>0.99604272609957245</v>
      </c>
      <c r="M132" s="2">
        <f>M128/$E$97</f>
        <v>0.99604272609957245</v>
      </c>
      <c r="N132" s="2"/>
      <c r="O132" s="2"/>
      <c r="Q132" s="163"/>
    </row>
    <row r="133" spans="1:17" hidden="1" x14ac:dyDescent="0.2">
      <c r="A133" s="2"/>
      <c r="B133" s="158"/>
      <c r="C133" s="2" t="s">
        <v>35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Q133" s="163"/>
    </row>
    <row r="134" spans="1:17" hidden="1" x14ac:dyDescent="0.2">
      <c r="A134" s="2"/>
      <c r="B134" s="158"/>
      <c r="C134" s="2">
        <f>1</f>
        <v>1</v>
      </c>
      <c r="D134" s="2">
        <f t="shared" ref="D134:M134" si="20">D128/D129</f>
        <v>0.92025750000000006</v>
      </c>
      <c r="E134" s="2">
        <f t="shared" si="20"/>
        <v>0.85413874999999995</v>
      </c>
      <c r="F134" s="2">
        <f t="shared" si="20"/>
        <v>0.76209916666666677</v>
      </c>
      <c r="G134" s="2">
        <f t="shared" si="20"/>
        <v>0.65683062500000011</v>
      </c>
      <c r="H134" s="2">
        <f t="shared" si="20"/>
        <v>0.55686650000000004</v>
      </c>
      <c r="I134" s="2">
        <f t="shared" si="20"/>
        <v>0.47797291666666669</v>
      </c>
      <c r="J134" s="2">
        <f t="shared" si="20"/>
        <v>0.41590607142857144</v>
      </c>
      <c r="K134" s="2">
        <f t="shared" si="20"/>
        <v>0.36704281249999998</v>
      </c>
      <c r="L134" s="2">
        <f t="shared" si="20"/>
        <v>0.3334906032626464</v>
      </c>
      <c r="M134" s="2">
        <f t="shared" si="20"/>
        <v>0.3334906032626464</v>
      </c>
      <c r="N134" s="2"/>
      <c r="O134" s="2"/>
      <c r="Q134" s="163"/>
    </row>
    <row r="135" spans="1:17" hidden="1" x14ac:dyDescent="0.2">
      <c r="A135" s="2"/>
      <c r="B135" s="158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Q135" s="163"/>
    </row>
    <row r="136" spans="1:17" ht="18" hidden="1" x14ac:dyDescent="0.25">
      <c r="A136" s="2"/>
      <c r="B136" s="158"/>
      <c r="C136" s="2" t="s">
        <v>37</v>
      </c>
      <c r="D136" s="2" t="s">
        <v>34</v>
      </c>
      <c r="E136" s="2" t="s">
        <v>35</v>
      </c>
      <c r="F136" s="2" t="s">
        <v>36</v>
      </c>
      <c r="G136" s="2"/>
      <c r="H136" s="2"/>
      <c r="I136" s="2"/>
      <c r="J136" s="2"/>
      <c r="K136" s="2"/>
      <c r="L136" s="2"/>
      <c r="M136" s="2"/>
      <c r="N136" s="2"/>
      <c r="O136" s="2"/>
      <c r="Q136" s="163"/>
    </row>
    <row r="137" spans="1:17" hidden="1" x14ac:dyDescent="0.2">
      <c r="A137" s="2"/>
      <c r="B137" s="158"/>
      <c r="C137" s="2">
        <v>0</v>
      </c>
      <c r="D137" s="2">
        <f>C132</f>
        <v>0</v>
      </c>
      <c r="E137" s="2">
        <f>C134</f>
        <v>1</v>
      </c>
      <c r="F137" s="165">
        <f>$K$69</f>
        <v>2.2350499999999998</v>
      </c>
      <c r="G137" s="2"/>
      <c r="H137" s="2"/>
      <c r="I137" s="2"/>
      <c r="J137" s="2"/>
      <c r="K137" s="2"/>
      <c r="L137" s="2"/>
      <c r="M137" s="2"/>
      <c r="N137" s="2"/>
      <c r="O137" s="2"/>
      <c r="Q137" s="163"/>
    </row>
    <row r="138" spans="1:17" hidden="1" x14ac:dyDescent="0.2">
      <c r="A138" s="2"/>
      <c r="B138" s="158"/>
      <c r="C138" s="2">
        <f>C137+0.5</f>
        <v>0.5</v>
      </c>
      <c r="D138" s="2">
        <f>D132</f>
        <v>0.30986692077623523</v>
      </c>
      <c r="E138" s="2">
        <f>D134</f>
        <v>0.92025750000000006</v>
      </c>
      <c r="F138" s="165">
        <f t="shared" ref="F138:F139" si="21">$K$69</f>
        <v>2.2350499999999998</v>
      </c>
      <c r="G138" s="2"/>
      <c r="H138" s="2"/>
      <c r="I138" s="2"/>
      <c r="J138" s="2"/>
      <c r="K138" s="2"/>
      <c r="L138" s="2"/>
      <c r="M138" s="2"/>
      <c r="N138" s="2"/>
      <c r="O138" s="2"/>
      <c r="Q138" s="163"/>
    </row>
    <row r="139" spans="1:17" hidden="1" x14ac:dyDescent="0.2">
      <c r="A139" s="2"/>
      <c r="B139" s="158"/>
      <c r="C139" s="2">
        <f t="shared" ref="C139:C147" si="22">C138+0.5</f>
        <v>1</v>
      </c>
      <c r="D139" s="2">
        <f>E132</f>
        <v>0.57520714447458998</v>
      </c>
      <c r="E139" s="2">
        <f>E134</f>
        <v>0.85413874999999995</v>
      </c>
      <c r="F139" s="165">
        <f t="shared" si="21"/>
        <v>2.2350499999999998</v>
      </c>
      <c r="G139" s="2"/>
      <c r="H139" s="2"/>
      <c r="I139" s="2"/>
      <c r="J139" s="2"/>
      <c r="K139" s="2"/>
      <c r="L139" s="2"/>
      <c r="M139" s="2"/>
      <c r="N139" s="2"/>
      <c r="O139" s="2"/>
      <c r="Q139" s="163"/>
    </row>
    <row r="140" spans="1:17" hidden="1" x14ac:dyDescent="0.2">
      <c r="A140" s="2"/>
      <c r="B140" s="158"/>
      <c r="C140" s="2">
        <f t="shared" si="22"/>
        <v>1.5</v>
      </c>
      <c r="D140" s="2">
        <f>F132</f>
        <v>0.76983666669753259</v>
      </c>
      <c r="E140" s="2">
        <f>F134</f>
        <v>0.76209916666666677</v>
      </c>
      <c r="F140" s="165"/>
      <c r="G140" s="2"/>
      <c r="H140" s="2"/>
      <c r="I140" s="2"/>
      <c r="J140" s="2"/>
      <c r="K140" s="2"/>
      <c r="L140" s="2"/>
      <c r="M140" s="2"/>
      <c r="N140" s="2"/>
      <c r="O140" s="2"/>
      <c r="Q140" s="163"/>
    </row>
    <row r="141" spans="1:17" hidden="1" x14ac:dyDescent="0.2">
      <c r="A141" s="2"/>
      <c r="B141" s="158"/>
      <c r="C141" s="2">
        <f t="shared" si="22"/>
        <v>2</v>
      </c>
      <c r="D141" s="2">
        <f>G132</f>
        <v>0.8846657951292114</v>
      </c>
      <c r="E141" s="2">
        <f>G134</f>
        <v>0.65683062500000011</v>
      </c>
      <c r="F141" s="165"/>
      <c r="G141" s="2"/>
      <c r="H141" s="2"/>
      <c r="I141" s="2"/>
      <c r="J141" s="2"/>
      <c r="K141" s="2"/>
      <c r="L141" s="2"/>
      <c r="M141" s="2"/>
      <c r="N141" s="2"/>
      <c r="O141" s="2"/>
      <c r="Q141" s="163"/>
    </row>
    <row r="142" spans="1:17" hidden="1" x14ac:dyDescent="0.2">
      <c r="A142" s="2"/>
      <c r="B142" s="158"/>
      <c r="C142" s="2">
        <f t="shared" si="22"/>
        <v>2.5</v>
      </c>
      <c r="D142" s="2">
        <f>H132</f>
        <v>0.93753382959899467</v>
      </c>
      <c r="E142" s="2">
        <f>H134</f>
        <v>0.55686650000000004</v>
      </c>
      <c r="F142" s="165"/>
      <c r="G142" s="2"/>
      <c r="H142" s="2"/>
      <c r="I142" s="2"/>
      <c r="J142" s="2"/>
      <c r="K142" s="2"/>
      <c r="L142" s="2"/>
      <c r="M142" s="2"/>
      <c r="N142" s="2"/>
      <c r="O142" s="2"/>
      <c r="Q142" s="163"/>
    </row>
    <row r="143" spans="1:17" hidden="1" x14ac:dyDescent="0.2">
      <c r="A143" s="2"/>
      <c r="B143" s="158"/>
      <c r="C143" s="2">
        <f t="shared" si="22"/>
        <v>3</v>
      </c>
      <c r="D143" s="2">
        <f>I132</f>
        <v>0.96565143496425343</v>
      </c>
      <c r="E143" s="2">
        <f>I134</f>
        <v>0.47797291666666669</v>
      </c>
      <c r="F143" s="165"/>
      <c r="G143" s="2"/>
      <c r="H143" s="2"/>
      <c r="I143" s="2"/>
      <c r="J143" s="2"/>
      <c r="K143" s="2"/>
      <c r="L143" s="2"/>
      <c r="M143" s="2"/>
      <c r="N143" s="2"/>
      <c r="O143" s="2"/>
      <c r="Q143" s="163"/>
    </row>
    <row r="144" spans="1:17" hidden="1" x14ac:dyDescent="0.2">
      <c r="A144" s="2"/>
      <c r="B144" s="158"/>
      <c r="C144" s="2">
        <f>C143+0.5</f>
        <v>3.5</v>
      </c>
      <c r="D144" s="2">
        <f>J132</f>
        <v>0.98030033528657623</v>
      </c>
      <c r="E144" s="2">
        <f>J134</f>
        <v>0.41590607142857144</v>
      </c>
      <c r="F144" s="165"/>
      <c r="G144" s="2"/>
      <c r="H144" s="2"/>
      <c r="I144" s="2"/>
      <c r="J144" s="2"/>
      <c r="K144" s="2"/>
      <c r="L144" s="2"/>
      <c r="M144" s="2"/>
      <c r="N144" s="2"/>
      <c r="O144" s="2"/>
      <c r="Q144" s="163"/>
    </row>
    <row r="145" spans="1:17" hidden="1" x14ac:dyDescent="0.2">
      <c r="A145" s="2"/>
      <c r="B145" s="158"/>
      <c r="C145" s="2">
        <f t="shared" si="22"/>
        <v>4</v>
      </c>
      <c r="D145" s="2">
        <f>K132</f>
        <v>0.98871827593841111</v>
      </c>
      <c r="E145" s="2">
        <f>K134</f>
        <v>0.36704281249999998</v>
      </c>
      <c r="F145" s="165"/>
      <c r="G145" s="2"/>
      <c r="H145" s="2"/>
      <c r="I145" s="2"/>
      <c r="J145" s="2"/>
      <c r="K145" s="2"/>
      <c r="L145" s="2"/>
      <c r="M145" s="2"/>
      <c r="N145" s="2"/>
      <c r="O145" s="2"/>
      <c r="Q145" s="163"/>
    </row>
    <row r="146" spans="1:17" hidden="1" x14ac:dyDescent="0.2">
      <c r="A146" s="2"/>
      <c r="B146" s="158"/>
      <c r="C146" s="2">
        <f>C145+0.5</f>
        <v>4.5</v>
      </c>
      <c r="D146" s="2">
        <f>L132</f>
        <v>0.99604272609957245</v>
      </c>
      <c r="E146" s="2">
        <f>L134</f>
        <v>0.3334906032626464</v>
      </c>
      <c r="F146" s="165"/>
      <c r="G146" s="2"/>
      <c r="H146" s="2"/>
      <c r="I146" s="2"/>
      <c r="J146" s="2"/>
      <c r="K146" s="2"/>
      <c r="L146" s="2"/>
      <c r="M146" s="2"/>
      <c r="N146" s="2"/>
      <c r="O146" s="2"/>
      <c r="Q146" s="163"/>
    </row>
    <row r="147" spans="1:17" hidden="1" x14ac:dyDescent="0.2">
      <c r="A147" s="2"/>
      <c r="B147" s="158"/>
      <c r="C147" s="2">
        <f t="shared" si="22"/>
        <v>5</v>
      </c>
      <c r="D147" s="2">
        <f>M132</f>
        <v>0.99604272609957245</v>
      </c>
      <c r="E147" s="2">
        <f>M134</f>
        <v>0.3334906032626464</v>
      </c>
      <c r="F147" s="165"/>
      <c r="G147" s="2"/>
      <c r="H147" s="2"/>
      <c r="I147" s="2"/>
      <c r="J147" s="2"/>
      <c r="K147" s="2"/>
      <c r="L147" s="2"/>
      <c r="M147" s="2"/>
      <c r="N147" s="2"/>
      <c r="O147" s="2"/>
      <c r="Q147" s="163"/>
    </row>
    <row r="148" spans="1:17" x14ac:dyDescent="0.2">
      <c r="A148" s="2"/>
      <c r="B148" s="158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Q148" s="163"/>
    </row>
    <row r="149" spans="1:17" x14ac:dyDescent="0.2">
      <c r="B149" s="158"/>
      <c r="C149" s="158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Q149" s="163"/>
    </row>
    <row r="150" spans="1:17" x14ac:dyDescent="0.2">
      <c r="B150" s="158"/>
      <c r="C150" s="158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Q150" s="163"/>
    </row>
    <row r="151" spans="1:17" x14ac:dyDescent="0.2">
      <c r="B151" s="158"/>
      <c r="C151" s="158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Q151" s="163"/>
    </row>
    <row r="152" spans="1:17" x14ac:dyDescent="0.2">
      <c r="B152" s="158"/>
      <c r="C152" s="158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Q152" s="163"/>
    </row>
    <row r="153" spans="1:17" x14ac:dyDescent="0.2">
      <c r="B153" s="158"/>
      <c r="C153" s="158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Q153" s="163"/>
    </row>
    <row r="154" spans="1:17" x14ac:dyDescent="0.2">
      <c r="B154" s="158"/>
      <c r="C154" s="158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Q154" s="163"/>
    </row>
    <row r="155" spans="1:17" x14ac:dyDescent="0.2">
      <c r="B155" s="158"/>
      <c r="C155" s="158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Q155" s="163"/>
    </row>
    <row r="156" spans="1:17" x14ac:dyDescent="0.2">
      <c r="B156" s="158"/>
      <c r="C156" s="158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Q156" s="163"/>
    </row>
    <row r="157" spans="1:17" x14ac:dyDescent="0.2">
      <c r="B157" s="158"/>
      <c r="C157" s="158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Q157" s="163"/>
    </row>
    <row r="158" spans="1:17" x14ac:dyDescent="0.2">
      <c r="B158" s="158"/>
      <c r="C158" s="158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Q158" s="163"/>
    </row>
    <row r="159" spans="1:17" x14ac:dyDescent="0.2">
      <c r="B159" s="158"/>
      <c r="C159" s="158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Q159" s="163"/>
    </row>
    <row r="160" spans="1:17" x14ac:dyDescent="0.2">
      <c r="B160" s="158"/>
      <c r="C160" s="158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Q160" s="163"/>
    </row>
    <row r="161" spans="1:17" x14ac:dyDescent="0.2">
      <c r="B161" s="158"/>
      <c r="C161" s="158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Q161" s="163"/>
    </row>
    <row r="162" spans="1:17" x14ac:dyDescent="0.2">
      <c r="B162" s="158"/>
      <c r="C162" s="158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Q162" s="163"/>
    </row>
    <row r="163" spans="1:17" x14ac:dyDescent="0.2">
      <c r="B163" s="158"/>
      <c r="C163" s="158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Q163" s="163"/>
    </row>
    <row r="164" spans="1:17" x14ac:dyDescent="0.2">
      <c r="B164" s="158"/>
      <c r="C164" s="158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Q164" s="163"/>
    </row>
    <row r="165" spans="1:17" x14ac:dyDescent="0.2">
      <c r="B165" s="158"/>
      <c r="C165" s="158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Q165" s="163"/>
    </row>
    <row r="166" spans="1:17" x14ac:dyDescent="0.2">
      <c r="B166" s="158"/>
      <c r="C166" s="158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Q166" s="163"/>
    </row>
    <row r="167" spans="1:17" x14ac:dyDescent="0.2">
      <c r="B167" s="158"/>
      <c r="C167" s="158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Q167" s="163"/>
    </row>
    <row r="168" spans="1:17" x14ac:dyDescent="0.2">
      <c r="B168" s="158"/>
      <c r="C168" s="158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Q168" s="163"/>
    </row>
    <row r="169" spans="1:17" x14ac:dyDescent="0.2">
      <c r="B169" s="158"/>
      <c r="C169" s="158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Q169" s="163"/>
    </row>
    <row r="170" spans="1:17" x14ac:dyDescent="0.2">
      <c r="B170" s="158"/>
      <c r="C170" s="158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Q170" s="163"/>
    </row>
    <row r="171" spans="1:17" x14ac:dyDescent="0.2">
      <c r="B171" s="158"/>
      <c r="C171" s="158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Q171" s="163"/>
    </row>
    <row r="172" spans="1:17" x14ac:dyDescent="0.2">
      <c r="B172" s="158"/>
      <c r="C172" s="158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Q172" s="163"/>
    </row>
    <row r="173" spans="1:17" x14ac:dyDescent="0.2">
      <c r="B173" s="158"/>
      <c r="C173" s="158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Q173" s="163"/>
    </row>
    <row r="174" spans="1:17" x14ac:dyDescent="0.2">
      <c r="A174" s="2"/>
      <c r="B174" s="168"/>
      <c r="C174" s="169"/>
      <c r="D174" s="169"/>
      <c r="E174" s="169"/>
      <c r="F174" s="169"/>
      <c r="G174" s="169"/>
      <c r="H174" s="169"/>
      <c r="I174" s="169"/>
      <c r="J174" s="169"/>
      <c r="K174" s="169"/>
      <c r="L174" s="169"/>
      <c r="M174" s="169"/>
      <c r="N174" s="169"/>
      <c r="O174" s="169"/>
      <c r="P174" s="169"/>
      <c r="Q174" s="45"/>
    </row>
    <row r="175" spans="1:17" x14ac:dyDescent="0.2">
      <c r="A175" s="2"/>
      <c r="B175" s="2"/>
      <c r="C175" s="80"/>
      <c r="D175" s="80"/>
      <c r="E175" s="80"/>
      <c r="F175" s="2"/>
      <c r="G175" s="2"/>
      <c r="H175" s="80"/>
      <c r="I175" s="80"/>
      <c r="J175" s="80"/>
      <c r="K175" s="80"/>
      <c r="L175" s="80"/>
      <c r="M175" s="80"/>
      <c r="N175" s="80"/>
      <c r="O175" s="80"/>
    </row>
  </sheetData>
  <sheetProtection password="CA6D" sheet="1" objects="1" scenarios="1" selectLockedCells="1"/>
  <mergeCells count="7">
    <mergeCell ref="C5:H5"/>
    <mergeCell ref="C71:F71"/>
    <mergeCell ref="C102:E102"/>
    <mergeCell ref="G69:J69"/>
    <mergeCell ref="C64:F64"/>
    <mergeCell ref="C32:H32"/>
    <mergeCell ref="C39:F39"/>
  </mergeCells>
  <pageMargins left="0.7" right="0.7" top="0.75" bottom="0.75" header="0.3" footer="0.3"/>
  <pageSetup paperSize="9" orientation="portrait" horizontalDpi="0" verticalDpi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Group Box 1">
              <controlPr defaultSize="0" autoFill="0" autoPict="0">
                <anchor moveWithCells="1">
                  <from>
                    <xdr:col>4</xdr:col>
                    <xdr:colOff>0</xdr:colOff>
                    <xdr:row>32</xdr:row>
                    <xdr:rowOff>203200</xdr:rowOff>
                  </from>
                  <to>
                    <xdr:col>12</xdr:col>
                    <xdr:colOff>812800</xdr:colOff>
                    <xdr:row>35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27" r:id="rId4" name="Option Button 3">
              <controlPr locked="0" defaultSize="0" autoFill="0" autoLine="0" autoPict="0">
                <anchor moveWithCells="1">
                  <from>
                    <xdr:col>4</xdr:col>
                    <xdr:colOff>266700</xdr:colOff>
                    <xdr:row>32</xdr:row>
                    <xdr:rowOff>203200</xdr:rowOff>
                  </from>
                  <to>
                    <xdr:col>5</xdr:col>
                    <xdr:colOff>25400</xdr:colOff>
                    <xdr:row>34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28" r:id="rId5" name="Option Button 4">
              <controlPr locked="0" defaultSize="0" autoFill="0" autoLine="0" autoPict="0">
                <anchor moveWithCells="1">
                  <from>
                    <xdr:col>7</xdr:col>
                    <xdr:colOff>241300</xdr:colOff>
                    <xdr:row>32</xdr:row>
                    <xdr:rowOff>203200</xdr:rowOff>
                  </from>
                  <to>
                    <xdr:col>7</xdr:col>
                    <xdr:colOff>635000</xdr:colOff>
                    <xdr:row>34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1" r:id="rId6" name="Option Button 7">
              <controlPr locked="0" defaultSize="0" autoFill="0" autoLine="0" autoPict="0">
                <anchor moveWithCells="1">
                  <from>
                    <xdr:col>11</xdr:col>
                    <xdr:colOff>279400</xdr:colOff>
                    <xdr:row>33</xdr:row>
                    <xdr:rowOff>0</xdr:rowOff>
                  </from>
                  <to>
                    <xdr:col>11</xdr:col>
                    <xdr:colOff>673100</xdr:colOff>
                    <xdr:row>34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3" r:id="rId7" name="Group Box 9">
              <controlPr defaultSize="0" autoFill="0" autoPict="0">
                <anchor moveWithCells="1">
                  <from>
                    <xdr:col>4</xdr:col>
                    <xdr:colOff>0</xdr:colOff>
                    <xdr:row>65</xdr:row>
                    <xdr:rowOff>0</xdr:rowOff>
                  </from>
                  <to>
                    <xdr:col>8</xdr:col>
                    <xdr:colOff>800100</xdr:colOff>
                    <xdr:row>67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4" r:id="rId8" name="Option Button 10">
              <controlPr locked="0" defaultSize="0" autoFill="0" autoLine="0" autoPict="0">
                <anchor moveWithCells="1">
                  <from>
                    <xdr:col>4</xdr:col>
                    <xdr:colOff>266700</xdr:colOff>
                    <xdr:row>64</xdr:row>
                    <xdr:rowOff>203200</xdr:rowOff>
                  </from>
                  <to>
                    <xdr:col>4</xdr:col>
                    <xdr:colOff>673100</xdr:colOff>
                    <xdr:row>66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6" r:id="rId9" name="Option Button 12">
              <controlPr locked="0" defaultSize="0" autoFill="0" autoLine="0" autoPict="0">
                <anchor moveWithCells="1">
                  <from>
                    <xdr:col>7</xdr:col>
                    <xdr:colOff>241300</xdr:colOff>
                    <xdr:row>64</xdr:row>
                    <xdr:rowOff>203200</xdr:rowOff>
                  </from>
                  <to>
                    <xdr:col>7</xdr:col>
                    <xdr:colOff>812800</xdr:colOff>
                    <xdr:row>66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9" r:id="rId10" name="Drop Down 15">
              <controlPr locked="0" defaultSize="0" autoLine="0" autoPict="0">
                <anchor moveWithCells="1">
                  <from>
                    <xdr:col>6</xdr:col>
                    <xdr:colOff>825500</xdr:colOff>
                    <xdr:row>66</xdr:row>
                    <xdr:rowOff>0</xdr:rowOff>
                  </from>
                  <to>
                    <xdr:col>8</xdr:col>
                    <xdr:colOff>0</xdr:colOff>
                    <xdr:row>67</xdr:row>
                    <xdr:rowOff>12700</xdr:rowOff>
                  </to>
                </anchor>
              </controlPr>
            </control>
          </mc:Choice>
          <mc:Fallback/>
        </mc:AlternateContent>
      </controls>
    </mc:Choice>
    <mc:Fallback/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" enableFormatConditionsCalculation="0"/>
  <dimension ref="A1:P30"/>
  <sheetViews>
    <sheetView showGridLines="0" showRowColHeaders="0" workbookViewId="0">
      <selection activeCell="F7" sqref="F7"/>
    </sheetView>
  </sheetViews>
  <sheetFormatPr baseColWidth="10" defaultColWidth="0" defaultRowHeight="16" zeroHeight="1" x14ac:dyDescent="0.2"/>
  <cols>
    <col min="1" max="1" width="3.33203125" style="174" customWidth="1"/>
    <col min="2" max="2" width="3.33203125" customWidth="1"/>
    <col min="3" max="3" width="10.83203125" customWidth="1"/>
    <col min="4" max="4" width="13.1640625" customWidth="1"/>
    <col min="5" max="5" width="12.6640625" customWidth="1"/>
    <col min="6" max="10" width="10.83203125" customWidth="1"/>
    <col min="11" max="11" width="13.6640625" customWidth="1"/>
    <col min="12" max="13" width="10.83203125" customWidth="1"/>
    <col min="14" max="14" width="12" customWidth="1"/>
    <col min="15" max="15" width="2.83203125" customWidth="1"/>
    <col min="16" max="16" width="3.33203125" customWidth="1"/>
    <col min="17" max="16384" width="10.83203125" hidden="1"/>
  </cols>
  <sheetData>
    <row r="1" spans="2:15" s="174" customFormat="1" x14ac:dyDescent="0.2"/>
    <row r="2" spans="2:15" ht="13" customHeight="1" thickBot="1" x14ac:dyDescent="0.25">
      <c r="B2" s="162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79"/>
    </row>
    <row r="3" spans="2:15" ht="32" thickBot="1" x14ac:dyDescent="0.4">
      <c r="B3" s="173"/>
      <c r="C3" s="2"/>
      <c r="D3" s="2"/>
      <c r="F3" s="10" t="s">
        <v>38</v>
      </c>
      <c r="G3" s="11"/>
      <c r="H3" s="11"/>
      <c r="I3" s="11"/>
      <c r="J3" s="11"/>
      <c r="K3" s="3"/>
      <c r="L3" s="2"/>
      <c r="M3" s="2"/>
      <c r="N3" s="2"/>
      <c r="O3" s="163"/>
    </row>
    <row r="4" spans="2:15" x14ac:dyDescent="0.2">
      <c r="B4" s="173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63"/>
    </row>
    <row r="5" spans="2:15" ht="20" x14ac:dyDescent="0.25">
      <c r="B5" s="173"/>
      <c r="C5" s="129" t="s">
        <v>48</v>
      </c>
      <c r="D5" s="129"/>
      <c r="E5" s="36" t="s">
        <v>86</v>
      </c>
      <c r="F5" s="120">
        <f>'Valutazione risorsa idrica'!K69</f>
        <v>2.2350499999999998</v>
      </c>
      <c r="G5" s="2" t="s">
        <v>88</v>
      </c>
      <c r="H5" s="2"/>
      <c r="I5" s="2"/>
      <c r="J5" s="2"/>
      <c r="K5" s="2"/>
      <c r="L5" s="2"/>
      <c r="M5" s="2"/>
      <c r="N5" s="2"/>
      <c r="O5" s="163"/>
    </row>
    <row r="6" spans="2:15" x14ac:dyDescent="0.2">
      <c r="B6" s="173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163"/>
    </row>
    <row r="7" spans="2:15" ht="18" x14ac:dyDescent="0.25">
      <c r="B7" s="173"/>
      <c r="C7" s="129" t="s">
        <v>39</v>
      </c>
      <c r="D7" s="171"/>
      <c r="E7" s="36" t="s">
        <v>87</v>
      </c>
      <c r="F7" s="200">
        <v>100</v>
      </c>
      <c r="G7" s="2" t="s">
        <v>42</v>
      </c>
      <c r="H7" s="2"/>
      <c r="I7" s="2"/>
      <c r="J7" s="2"/>
      <c r="K7" s="2"/>
      <c r="L7" s="2"/>
      <c r="M7" s="2"/>
      <c r="N7" s="2"/>
      <c r="O7" s="163"/>
    </row>
    <row r="8" spans="2:15" x14ac:dyDescent="0.2">
      <c r="B8" s="173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163"/>
    </row>
    <row r="9" spans="2:15" ht="26" x14ac:dyDescent="0.35">
      <c r="B9" s="173"/>
      <c r="C9" s="177" t="s">
        <v>57</v>
      </c>
      <c r="D9" s="177"/>
      <c r="E9" s="177"/>
      <c r="F9" s="2"/>
      <c r="G9" s="2"/>
      <c r="H9" s="2"/>
      <c r="I9" s="2"/>
      <c r="J9" s="2"/>
      <c r="K9" s="2"/>
      <c r="L9" s="2"/>
      <c r="M9" s="2"/>
      <c r="N9" s="2"/>
      <c r="O9" s="163"/>
    </row>
    <row r="10" spans="2:15" x14ac:dyDescent="0.2">
      <c r="B10" s="173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163"/>
    </row>
    <row r="11" spans="2:15" ht="19" x14ac:dyDescent="0.2">
      <c r="B11" s="173"/>
      <c r="C11" s="171" t="s">
        <v>43</v>
      </c>
      <c r="D11" s="171"/>
      <c r="E11" s="200">
        <v>1.2500000000000001E-2</v>
      </c>
      <c r="F11" s="207" t="s">
        <v>89</v>
      </c>
      <c r="G11" s="201"/>
      <c r="H11" s="2"/>
      <c r="I11" s="2"/>
      <c r="J11" s="2"/>
      <c r="K11" s="2"/>
      <c r="L11" s="2"/>
      <c r="M11" s="2"/>
      <c r="N11" s="2"/>
      <c r="O11" s="163"/>
    </row>
    <row r="12" spans="2:15" x14ac:dyDescent="0.2">
      <c r="B12" s="173"/>
      <c r="C12" s="171" t="s">
        <v>44</v>
      </c>
      <c r="D12" s="171"/>
      <c r="E12" s="200">
        <v>150</v>
      </c>
      <c r="F12" s="207" t="s">
        <v>42</v>
      </c>
      <c r="G12" s="2"/>
      <c r="H12" s="2"/>
      <c r="I12" s="2"/>
      <c r="J12" s="2"/>
      <c r="K12" s="2"/>
      <c r="L12" s="2"/>
      <c r="M12" s="2"/>
      <c r="N12" s="2"/>
      <c r="O12" s="163"/>
    </row>
    <row r="13" spans="2:15" x14ac:dyDescent="0.2">
      <c r="B13" s="173"/>
      <c r="C13" s="171" t="s">
        <v>45</v>
      </c>
      <c r="D13" s="171"/>
      <c r="E13" s="200">
        <v>5</v>
      </c>
      <c r="F13" s="207" t="s">
        <v>41</v>
      </c>
      <c r="G13" s="2"/>
      <c r="H13" s="274" t="s">
        <v>272</v>
      </c>
      <c r="I13" s="275"/>
      <c r="J13" s="70">
        <f>F5/(PI()*(J14^2)/4)</f>
        <v>4.4464906944692579</v>
      </c>
      <c r="K13" s="26" t="s">
        <v>41</v>
      </c>
      <c r="L13" s="2"/>
      <c r="M13" s="2"/>
      <c r="N13" s="2"/>
      <c r="O13" s="163"/>
    </row>
    <row r="14" spans="2:15" x14ac:dyDescent="0.2">
      <c r="B14" s="173"/>
      <c r="C14" s="172" t="s">
        <v>40</v>
      </c>
      <c r="D14" s="171"/>
      <c r="E14" s="28">
        <f>SQRT((4*F5)/(PI()*E13))</f>
        <v>0.75442084335738302</v>
      </c>
      <c r="F14" s="207" t="s">
        <v>42</v>
      </c>
      <c r="G14" s="2"/>
      <c r="H14" s="171" t="s">
        <v>46</v>
      </c>
      <c r="I14" s="171"/>
      <c r="J14" s="200">
        <v>0.8</v>
      </c>
      <c r="K14" s="26" t="s">
        <v>42</v>
      </c>
      <c r="L14" s="2"/>
      <c r="M14" s="2"/>
      <c r="N14" s="2"/>
      <c r="O14" s="163"/>
    </row>
    <row r="15" spans="2:15" x14ac:dyDescent="0.2">
      <c r="B15" s="173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163"/>
    </row>
    <row r="16" spans="2:15" ht="17" thickBot="1" x14ac:dyDescent="0.25">
      <c r="B16" s="17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163"/>
    </row>
    <row r="17" spans="2:15" ht="26" thickBot="1" x14ac:dyDescent="0.4">
      <c r="B17" s="173"/>
      <c r="C17" s="268" t="s">
        <v>243</v>
      </c>
      <c r="D17" s="269"/>
      <c r="E17" s="270"/>
      <c r="F17" s="248">
        <f>(10.29*((E11)^(2)*(F5)^(2))/((J14)^(5.333)))*E12</f>
        <v>3.9602467427995061</v>
      </c>
      <c r="G17" s="207" t="s">
        <v>42</v>
      </c>
      <c r="H17" s="2"/>
      <c r="I17" s="2"/>
      <c r="J17" s="2"/>
      <c r="K17" s="2"/>
      <c r="L17" s="2"/>
      <c r="M17" s="2"/>
      <c r="N17" s="2"/>
      <c r="O17" s="163"/>
    </row>
    <row r="18" spans="2:15" x14ac:dyDescent="0.2">
      <c r="B18" s="173"/>
      <c r="C18" s="2"/>
      <c r="D18" s="26" t="s">
        <v>47</v>
      </c>
      <c r="F18" s="202">
        <f>F17/F7</f>
        <v>3.9602467427995058E-2</v>
      </c>
      <c r="G18" s="2"/>
      <c r="H18" s="2"/>
      <c r="I18" s="2"/>
      <c r="J18" s="2"/>
      <c r="K18" s="2"/>
      <c r="L18" s="2"/>
      <c r="M18" s="2"/>
      <c r="N18" s="2"/>
      <c r="O18" s="163"/>
    </row>
    <row r="19" spans="2:15" x14ac:dyDescent="0.2">
      <c r="B19" s="173"/>
      <c r="C19" s="2" t="s">
        <v>49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163"/>
    </row>
    <row r="20" spans="2:15" x14ac:dyDescent="0.2">
      <c r="B20" s="173"/>
      <c r="C20" s="171" t="s">
        <v>234</v>
      </c>
      <c r="D20" s="171"/>
      <c r="E20" s="200">
        <v>0.5</v>
      </c>
      <c r="F20" s="2"/>
      <c r="G20" s="2"/>
      <c r="H20" s="2"/>
      <c r="I20" s="2"/>
      <c r="J20" s="2"/>
      <c r="K20" s="2"/>
      <c r="L20" s="2"/>
      <c r="M20" s="2"/>
      <c r="N20" s="2"/>
      <c r="O20" s="163"/>
    </row>
    <row r="21" spans="2:15" ht="17" thickBot="1" x14ac:dyDescent="0.25">
      <c r="B21" s="173"/>
      <c r="C21" s="2"/>
      <c r="D21" s="2"/>
      <c r="E21" s="2"/>
      <c r="F21" s="2"/>
      <c r="G21" s="26"/>
      <c r="H21" s="2"/>
      <c r="I21" s="2"/>
      <c r="J21" s="2"/>
      <c r="K21" s="2"/>
      <c r="L21" s="2"/>
      <c r="M21" s="2"/>
      <c r="N21" s="2"/>
      <c r="O21" s="163"/>
    </row>
    <row r="22" spans="2:15" ht="26" thickBot="1" x14ac:dyDescent="0.4">
      <c r="B22" s="173"/>
      <c r="C22" s="268" t="s">
        <v>242</v>
      </c>
      <c r="D22" s="269"/>
      <c r="E22" s="270"/>
      <c r="F22" s="248">
        <f>E20*((F5)^(2)*16)/(2*9.81*(PI()^(2))*(J14)^(4))</f>
        <v>0.5038552369011644</v>
      </c>
      <c r="G22" s="207" t="s">
        <v>42</v>
      </c>
      <c r="H22" s="2"/>
      <c r="I22" s="2"/>
      <c r="J22" s="2"/>
      <c r="K22" s="2"/>
      <c r="L22" s="2"/>
      <c r="M22" s="2"/>
      <c r="N22" s="2"/>
      <c r="O22" s="163"/>
    </row>
    <row r="23" spans="2:15" x14ac:dyDescent="0.2">
      <c r="B23" s="173"/>
      <c r="C23" s="2"/>
      <c r="E23" s="26" t="s">
        <v>47</v>
      </c>
      <c r="F23" s="202">
        <f>F22/F7</f>
        <v>5.0385523690116441E-3</v>
      </c>
      <c r="G23" s="2"/>
      <c r="H23" s="2"/>
      <c r="I23" s="2"/>
      <c r="J23" s="2"/>
      <c r="K23" s="2"/>
      <c r="L23" s="2"/>
      <c r="M23" s="2"/>
      <c r="N23" s="2"/>
      <c r="O23" s="163"/>
    </row>
    <row r="24" spans="2:15" x14ac:dyDescent="0.2">
      <c r="B24" s="173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163"/>
    </row>
    <row r="25" spans="2:15" ht="17" thickBot="1" x14ac:dyDescent="0.25">
      <c r="B25" s="173"/>
      <c r="C25" s="2"/>
      <c r="D25" s="2"/>
      <c r="E25" s="2"/>
      <c r="J25" s="26"/>
      <c r="K25" s="2"/>
      <c r="L25" s="2"/>
      <c r="M25" s="2"/>
      <c r="N25" s="2"/>
      <c r="O25" s="163"/>
    </row>
    <row r="26" spans="2:15" ht="31" thickBot="1" x14ac:dyDescent="0.45">
      <c r="B26" s="173"/>
      <c r="C26" s="2"/>
      <c r="D26" s="2"/>
      <c r="E26" s="2"/>
      <c r="F26" s="271" t="s">
        <v>248</v>
      </c>
      <c r="G26" s="272"/>
      <c r="H26" s="272"/>
      <c r="I26" s="273"/>
      <c r="J26" s="206">
        <f>F7-F17-F22</f>
        <v>95.535898020299328</v>
      </c>
      <c r="K26" s="249" t="s">
        <v>42</v>
      </c>
      <c r="L26" s="2"/>
      <c r="M26" s="2"/>
      <c r="N26" s="2"/>
      <c r="O26" s="163"/>
    </row>
    <row r="27" spans="2:15" x14ac:dyDescent="0.2">
      <c r="B27" s="173"/>
      <c r="C27" s="199" t="s">
        <v>90</v>
      </c>
      <c r="D27" s="199"/>
      <c r="E27" s="199">
        <f>'Valutazione risorsa idrica'!E100</f>
        <v>1.36492375</v>
      </c>
      <c r="F27" s="199"/>
      <c r="G27" s="199" t="s">
        <v>91</v>
      </c>
      <c r="H27" s="199">
        <f>SQRT((4*E27)/(PI()*E13))</f>
        <v>0.589554898893769</v>
      </c>
      <c r="I27" s="2"/>
      <c r="J27" s="2"/>
      <c r="K27" s="2"/>
      <c r="L27" s="2"/>
      <c r="M27" s="2"/>
      <c r="N27" s="2"/>
      <c r="O27" s="163"/>
    </row>
    <row r="28" spans="2:15" x14ac:dyDescent="0.2">
      <c r="B28" s="173"/>
      <c r="C28" s="199" t="s">
        <v>92</v>
      </c>
      <c r="D28" s="199"/>
      <c r="E28" s="199">
        <f>(10.29*(E11)^(2)*(E27)^(2))/((H27)^(5.333))*E12</f>
        <v>7.5220740192782376</v>
      </c>
      <c r="F28" s="199"/>
      <c r="G28" s="199" t="s">
        <v>93</v>
      </c>
      <c r="H28" s="205">
        <f>F7-E28-F22</f>
        <v>91.974070743820604</v>
      </c>
      <c r="I28" s="2"/>
      <c r="J28" s="2"/>
      <c r="K28" s="2"/>
      <c r="L28" s="2"/>
      <c r="M28" s="2"/>
      <c r="N28" s="2"/>
      <c r="O28" s="163"/>
    </row>
    <row r="29" spans="2:15" x14ac:dyDescent="0.2">
      <c r="B29" s="168"/>
      <c r="C29" s="169"/>
      <c r="D29" s="169"/>
      <c r="E29" s="169"/>
      <c r="F29" s="169"/>
      <c r="G29" s="169"/>
      <c r="H29" s="169"/>
      <c r="I29" s="204"/>
      <c r="J29" s="169"/>
      <c r="K29" s="169"/>
      <c r="L29" s="169"/>
      <c r="M29" s="169"/>
      <c r="N29" s="169"/>
      <c r="O29" s="45"/>
    </row>
    <row r="30" spans="2:15" x14ac:dyDescent="0.2"/>
  </sheetData>
  <sheetProtection password="CA6D" sheet="1" objects="1" scenarios="1" selectLockedCells="1"/>
  <mergeCells count="4">
    <mergeCell ref="C22:E22"/>
    <mergeCell ref="C17:E17"/>
    <mergeCell ref="F26:I26"/>
    <mergeCell ref="H13:I13"/>
  </mergeCells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 enableFormatConditionsCalculation="0"/>
  <dimension ref="A1:P180"/>
  <sheetViews>
    <sheetView showGridLines="0" showRowColHeaders="0" workbookViewId="0">
      <selection activeCell="E8" sqref="E8"/>
    </sheetView>
  </sheetViews>
  <sheetFormatPr baseColWidth="10" defaultColWidth="0" defaultRowHeight="16" zeroHeight="1" x14ac:dyDescent="0.2"/>
  <cols>
    <col min="1" max="1" width="3.33203125" style="174" customWidth="1"/>
    <col min="2" max="2" width="3.33203125" customWidth="1"/>
    <col min="3" max="3" width="10.83203125" customWidth="1"/>
    <col min="4" max="4" width="14.33203125" customWidth="1"/>
    <col min="5" max="5" width="11.5" customWidth="1"/>
    <col min="6" max="8" width="10.83203125" customWidth="1"/>
    <col min="9" max="9" width="23.5" customWidth="1"/>
    <col min="10" max="10" width="18.1640625" customWidth="1"/>
    <col min="11" max="13" width="10.83203125" customWidth="1"/>
    <col min="14" max="14" width="3" customWidth="1"/>
    <col min="15" max="15" width="3.33203125" style="142" customWidth="1"/>
    <col min="16" max="16384" width="10.83203125" hidden="1"/>
  </cols>
  <sheetData>
    <row r="1" spans="2:14" s="174" customFormat="1" ht="13" customHeight="1" x14ac:dyDescent="0.2"/>
    <row r="2" spans="2:14" ht="13" customHeight="1" thickBot="1" x14ac:dyDescent="0.25">
      <c r="B2" s="162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79"/>
    </row>
    <row r="3" spans="2:14" ht="32" thickBot="1" x14ac:dyDescent="0.4">
      <c r="B3" s="173"/>
      <c r="C3" s="2"/>
      <c r="D3" s="2"/>
      <c r="E3" s="2"/>
      <c r="F3" s="25"/>
      <c r="G3" s="255" t="s">
        <v>240</v>
      </c>
      <c r="H3" s="255"/>
      <c r="I3" s="255"/>
      <c r="J3" s="3"/>
      <c r="K3" s="2"/>
      <c r="L3" s="2"/>
      <c r="M3" s="2"/>
      <c r="N3" s="163"/>
    </row>
    <row r="4" spans="2:14" x14ac:dyDescent="0.2">
      <c r="B4" s="173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63"/>
    </row>
    <row r="5" spans="2:14" x14ac:dyDescent="0.2">
      <c r="B5" s="173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163"/>
    </row>
    <row r="6" spans="2:14" ht="19" x14ac:dyDescent="0.25">
      <c r="B6" s="173"/>
      <c r="C6" s="42" t="s">
        <v>70</v>
      </c>
      <c r="D6" s="42"/>
      <c r="E6" s="43">
        <f>'Valutazione del salto'!J26</f>
        <v>95.535898020299328</v>
      </c>
      <c r="F6" s="208" t="s">
        <v>42</v>
      </c>
      <c r="G6" s="2"/>
      <c r="H6" s="2"/>
      <c r="I6" s="2"/>
      <c r="J6" s="2"/>
      <c r="K6" s="2"/>
      <c r="L6" s="2"/>
      <c r="M6" s="2"/>
      <c r="N6" s="163"/>
    </row>
    <row r="7" spans="2:14" ht="20" x14ac:dyDescent="0.25">
      <c r="B7" s="173"/>
      <c r="C7" s="42" t="s">
        <v>71</v>
      </c>
      <c r="D7" s="42"/>
      <c r="E7" s="43">
        <f>'Valutazione risorsa idrica'!K69</f>
        <v>2.2350499999999998</v>
      </c>
      <c r="F7" s="208" t="s">
        <v>50</v>
      </c>
      <c r="G7" s="2"/>
      <c r="H7" s="2"/>
      <c r="I7" s="2"/>
      <c r="J7" s="2"/>
      <c r="K7" s="2"/>
      <c r="L7" s="2"/>
      <c r="M7" s="2"/>
      <c r="N7" s="163"/>
    </row>
    <row r="8" spans="2:14" x14ac:dyDescent="0.2">
      <c r="B8" s="173"/>
      <c r="C8" s="42" t="s">
        <v>72</v>
      </c>
      <c r="D8" s="42"/>
      <c r="E8" s="251">
        <v>1500</v>
      </c>
      <c r="F8" s="208" t="s">
        <v>51</v>
      </c>
      <c r="G8" s="2"/>
      <c r="H8" s="2"/>
      <c r="I8" s="2"/>
      <c r="J8" s="2"/>
      <c r="K8" s="2"/>
      <c r="L8" s="2"/>
      <c r="M8" s="2"/>
      <c r="N8" s="163"/>
    </row>
    <row r="9" spans="2:14" x14ac:dyDescent="0.2">
      <c r="B9" s="173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163"/>
    </row>
    <row r="10" spans="2:14" ht="24" x14ac:dyDescent="0.3">
      <c r="B10" s="173"/>
      <c r="C10" s="247" t="s">
        <v>249</v>
      </c>
      <c r="D10" s="164"/>
      <c r="E10" s="164"/>
      <c r="F10" s="164"/>
      <c r="G10" s="164"/>
      <c r="H10" s="214"/>
      <c r="I10" s="2"/>
      <c r="J10" s="2"/>
      <c r="K10" s="2"/>
      <c r="L10" s="2"/>
      <c r="M10" s="2"/>
      <c r="N10" s="163"/>
    </row>
    <row r="11" spans="2:14" x14ac:dyDescent="0.2">
      <c r="B11" s="173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163"/>
    </row>
    <row r="12" spans="2:14" x14ac:dyDescent="0.2">
      <c r="B12" s="173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163"/>
    </row>
    <row r="13" spans="2:14" x14ac:dyDescent="0.2">
      <c r="B13" s="173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163"/>
    </row>
    <row r="14" spans="2:14" x14ac:dyDescent="0.2">
      <c r="B14" s="173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163"/>
    </row>
    <row r="15" spans="2:14" x14ac:dyDescent="0.2">
      <c r="B15" s="173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163"/>
    </row>
    <row r="16" spans="2:14" x14ac:dyDescent="0.2">
      <c r="B16" s="17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163"/>
    </row>
    <row r="17" spans="2:14" x14ac:dyDescent="0.2">
      <c r="B17" s="173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163"/>
    </row>
    <row r="18" spans="2:14" x14ac:dyDescent="0.2">
      <c r="B18" s="173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163"/>
    </row>
    <row r="19" spans="2:14" x14ac:dyDescent="0.2">
      <c r="B19" s="173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163"/>
    </row>
    <row r="20" spans="2:14" x14ac:dyDescent="0.2">
      <c r="B20" s="173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163"/>
    </row>
    <row r="21" spans="2:14" x14ac:dyDescent="0.2">
      <c r="B21" s="173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163"/>
    </row>
    <row r="22" spans="2:14" x14ac:dyDescent="0.2">
      <c r="B22" s="173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163"/>
    </row>
    <row r="23" spans="2:14" x14ac:dyDescent="0.2">
      <c r="B23" s="173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163"/>
    </row>
    <row r="24" spans="2:14" x14ac:dyDescent="0.2">
      <c r="B24" s="173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163"/>
    </row>
    <row r="25" spans="2:14" x14ac:dyDescent="0.2">
      <c r="B25" s="173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163"/>
    </row>
    <row r="26" spans="2:14" x14ac:dyDescent="0.2">
      <c r="B26" s="173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163"/>
    </row>
    <row r="27" spans="2:14" x14ac:dyDescent="0.2">
      <c r="B27" s="173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163"/>
    </row>
    <row r="28" spans="2:14" x14ac:dyDescent="0.2">
      <c r="B28" s="173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163"/>
    </row>
    <row r="29" spans="2:14" x14ac:dyDescent="0.2">
      <c r="B29" s="173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163"/>
    </row>
    <row r="30" spans="2:14" x14ac:dyDescent="0.2">
      <c r="B30" s="173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163"/>
    </row>
    <row r="31" spans="2:14" x14ac:dyDescent="0.2">
      <c r="B31" s="173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163"/>
    </row>
    <row r="32" spans="2:14" x14ac:dyDescent="0.2">
      <c r="B32" s="173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163"/>
    </row>
    <row r="33" spans="2:14" x14ac:dyDescent="0.2">
      <c r="B33" s="173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163"/>
    </row>
    <row r="34" spans="2:14" x14ac:dyDescent="0.2">
      <c r="B34" s="173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163"/>
    </row>
    <row r="35" spans="2:14" x14ac:dyDescent="0.2">
      <c r="B35" s="173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163"/>
    </row>
    <row r="36" spans="2:14" x14ac:dyDescent="0.2">
      <c r="B36" s="173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163"/>
    </row>
    <row r="37" spans="2:14" x14ac:dyDescent="0.2">
      <c r="B37" s="17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163"/>
    </row>
    <row r="38" spans="2:14" x14ac:dyDescent="0.2">
      <c r="B38" s="173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163"/>
    </row>
    <row r="39" spans="2:14" x14ac:dyDescent="0.2">
      <c r="B39" s="17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163"/>
    </row>
    <row r="40" spans="2:14" x14ac:dyDescent="0.2">
      <c r="B40" s="173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163"/>
    </row>
    <row r="41" spans="2:14" x14ac:dyDescent="0.2">
      <c r="B41" s="173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163"/>
    </row>
    <row r="42" spans="2:14" x14ac:dyDescent="0.2">
      <c r="B42" s="173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163"/>
    </row>
    <row r="43" spans="2:14" x14ac:dyDescent="0.2">
      <c r="B43" s="173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163"/>
    </row>
    <row r="44" spans="2:14" x14ac:dyDescent="0.2">
      <c r="B44" s="173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163"/>
    </row>
    <row r="45" spans="2:14" x14ac:dyDescent="0.2">
      <c r="B45" s="173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163"/>
    </row>
    <row r="46" spans="2:14" ht="26" x14ac:dyDescent="0.35">
      <c r="B46" s="173"/>
      <c r="C46" s="247" t="s">
        <v>250</v>
      </c>
      <c r="D46" s="177"/>
      <c r="E46" s="177"/>
      <c r="F46" s="177"/>
      <c r="G46" s="177"/>
      <c r="H46" s="214"/>
      <c r="I46" s="2"/>
      <c r="J46" s="2"/>
      <c r="K46" s="2"/>
      <c r="L46" s="2"/>
      <c r="M46" s="2"/>
      <c r="N46" s="163"/>
    </row>
    <row r="47" spans="2:14" ht="17" thickBot="1" x14ac:dyDescent="0.25">
      <c r="B47" s="173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163"/>
    </row>
    <row r="48" spans="2:14" ht="17" thickBot="1" x14ac:dyDescent="0.25">
      <c r="B48" s="173"/>
      <c r="C48" s="17" t="s">
        <v>52</v>
      </c>
      <c r="D48" s="13"/>
      <c r="E48" s="250">
        <f>(997)*(9.81)*E6*E7</f>
        <v>2088420.7474312964</v>
      </c>
      <c r="F48" s="189" t="s">
        <v>53</v>
      </c>
      <c r="G48" s="252">
        <f>E48/1000</f>
        <v>2088.4207474312966</v>
      </c>
      <c r="H48" s="190" t="s">
        <v>54</v>
      </c>
      <c r="I48" s="2"/>
      <c r="J48" s="2"/>
      <c r="K48" s="2"/>
      <c r="L48" s="2"/>
      <c r="M48" s="2"/>
      <c r="N48" s="163"/>
    </row>
    <row r="49" spans="2:14" ht="17" thickBot="1" x14ac:dyDescent="0.25">
      <c r="B49" s="173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163"/>
    </row>
    <row r="50" spans="2:14" ht="26" thickBot="1" x14ac:dyDescent="0.4">
      <c r="B50" s="173"/>
      <c r="C50" s="12" t="s">
        <v>244</v>
      </c>
      <c r="D50" s="5"/>
      <c r="E50" s="131"/>
      <c r="F50" s="137"/>
      <c r="G50" s="31">
        <f>(E8)*((G48)^(1/2)/(E6)^(5/4))</f>
        <v>229.50493090431016</v>
      </c>
      <c r="H50" s="2"/>
      <c r="I50" s="135" t="str">
        <f>IF(AND(G50&gt;=5,G50&lt;=60),"PELTON",IF(AND(G50&gt;60,G50&lt;=80),"CROSSFLOW",IF(AND(G50&gt;80,G50&lt;=500),"FRANCIS",IF(AND(G50&gt;500,G50&lt;=1000),"KAPLAN"))))</f>
        <v>FRANCIS</v>
      </c>
      <c r="J50" s="2"/>
      <c r="K50" s="2"/>
      <c r="L50" s="2"/>
      <c r="M50" s="2"/>
      <c r="N50" s="163"/>
    </row>
    <row r="51" spans="2:14" x14ac:dyDescent="0.2">
      <c r="B51" s="173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163"/>
    </row>
    <row r="52" spans="2:14" x14ac:dyDescent="0.2">
      <c r="B52" s="173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163"/>
    </row>
    <row r="53" spans="2:14" ht="24" x14ac:dyDescent="0.3">
      <c r="B53" s="173"/>
      <c r="C53" s="247" t="s">
        <v>251</v>
      </c>
      <c r="D53" s="177"/>
      <c r="E53" s="177"/>
      <c r="F53" s="214"/>
      <c r="G53" s="71"/>
      <c r="H53" s="2"/>
      <c r="I53" s="2"/>
      <c r="J53" s="2"/>
      <c r="K53" s="35"/>
      <c r="L53" s="2"/>
      <c r="M53" s="2"/>
      <c r="N53" s="209"/>
    </row>
    <row r="54" spans="2:14" x14ac:dyDescent="0.2">
      <c r="B54" s="173"/>
      <c r="C54" s="2" t="s">
        <v>66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09"/>
    </row>
    <row r="55" spans="2:14" hidden="1" x14ac:dyDescent="0.2">
      <c r="B55" s="173"/>
      <c r="C55" s="36" t="s">
        <v>62</v>
      </c>
      <c r="D55" s="36" t="s">
        <v>61</v>
      </c>
      <c r="E55" s="36" t="s">
        <v>59</v>
      </c>
      <c r="F55" s="36" t="s">
        <v>60</v>
      </c>
      <c r="G55" s="36" t="s">
        <v>58</v>
      </c>
      <c r="H55" s="38" t="s">
        <v>67</v>
      </c>
      <c r="I55" s="2"/>
      <c r="J55" s="2"/>
      <c r="K55" s="2"/>
      <c r="L55" s="2"/>
      <c r="M55" s="2"/>
      <c r="N55" s="209"/>
    </row>
    <row r="56" spans="2:14" hidden="1" x14ac:dyDescent="0.2">
      <c r="B56" s="173"/>
      <c r="C56" s="37">
        <v>0</v>
      </c>
      <c r="D56" s="37">
        <v>0</v>
      </c>
      <c r="E56" s="37">
        <v>0</v>
      </c>
      <c r="F56" s="37">
        <v>0</v>
      </c>
      <c r="G56" s="37">
        <v>0</v>
      </c>
      <c r="H56" s="39"/>
      <c r="I56" s="2"/>
      <c r="J56" s="2"/>
      <c r="K56" s="2"/>
      <c r="L56" s="2"/>
      <c r="M56" s="2"/>
      <c r="N56" s="209"/>
    </row>
    <row r="57" spans="2:14" hidden="1" x14ac:dyDescent="0.2">
      <c r="B57" s="173"/>
      <c r="C57" s="37">
        <f t="shared" ref="C57:C76" si="0">C56+0.05</f>
        <v>0.05</v>
      </c>
      <c r="D57" s="37">
        <v>0.16</v>
      </c>
      <c r="E57" s="37">
        <v>0</v>
      </c>
      <c r="F57" s="37">
        <v>0</v>
      </c>
      <c r="G57" s="37">
        <v>0</v>
      </c>
      <c r="H57" s="39"/>
      <c r="I57" s="2"/>
      <c r="J57" s="2"/>
      <c r="K57" s="2"/>
      <c r="L57" s="2"/>
      <c r="M57" s="2"/>
      <c r="N57" s="163"/>
    </row>
    <row r="58" spans="2:14" hidden="1" x14ac:dyDescent="0.2">
      <c r="B58" s="173"/>
      <c r="C58" s="37">
        <f t="shared" si="0"/>
        <v>0.1</v>
      </c>
      <c r="D58" s="37">
        <v>0.46</v>
      </c>
      <c r="E58" s="37">
        <v>0.6</v>
      </c>
      <c r="F58" s="37">
        <v>0.08</v>
      </c>
      <c r="G58" s="37">
        <v>0</v>
      </c>
      <c r="H58" s="39"/>
      <c r="I58" s="2"/>
      <c r="J58" s="2"/>
      <c r="K58" s="2"/>
      <c r="L58" s="2"/>
      <c r="M58" s="2"/>
      <c r="N58" s="163"/>
    </row>
    <row r="59" spans="2:14" hidden="1" x14ac:dyDescent="0.2">
      <c r="B59" s="173"/>
      <c r="C59" s="37">
        <f t="shared" si="0"/>
        <v>0.15000000000000002</v>
      </c>
      <c r="D59" s="37">
        <v>0.64</v>
      </c>
      <c r="E59" s="37">
        <v>0.75</v>
      </c>
      <c r="F59" s="37">
        <v>0.22</v>
      </c>
      <c r="G59" s="37">
        <v>0.08</v>
      </c>
      <c r="H59" s="39"/>
      <c r="I59" s="2"/>
      <c r="J59" s="2"/>
      <c r="K59" s="2"/>
      <c r="L59" s="2"/>
      <c r="M59" s="2"/>
      <c r="N59" s="163"/>
    </row>
    <row r="60" spans="2:14" hidden="1" x14ac:dyDescent="0.2">
      <c r="B60" s="173"/>
      <c r="C60" s="37">
        <f t="shared" si="0"/>
        <v>0.2</v>
      </c>
      <c r="D60" s="37">
        <v>0.76</v>
      </c>
      <c r="E60" s="37">
        <v>0.82</v>
      </c>
      <c r="F60" s="37">
        <v>0.34</v>
      </c>
      <c r="G60" s="37">
        <v>0.42</v>
      </c>
      <c r="H60" s="39"/>
      <c r="I60" s="2"/>
      <c r="J60" s="2"/>
      <c r="K60" s="2"/>
      <c r="L60" s="2"/>
      <c r="M60" s="2"/>
      <c r="N60" s="163"/>
    </row>
    <row r="61" spans="2:14" hidden="1" x14ac:dyDescent="0.2">
      <c r="B61" s="173"/>
      <c r="C61" s="37">
        <f t="shared" si="0"/>
        <v>0.25</v>
      </c>
      <c r="D61" s="37">
        <v>0.82</v>
      </c>
      <c r="E61" s="37">
        <v>0.85</v>
      </c>
      <c r="F61" s="37">
        <v>0.44</v>
      </c>
      <c r="G61" s="37">
        <v>0.63</v>
      </c>
      <c r="H61" s="39"/>
      <c r="I61" s="2"/>
      <c r="J61" s="2"/>
      <c r="K61" s="2"/>
      <c r="L61" s="2"/>
      <c r="M61" s="2"/>
      <c r="N61" s="163"/>
    </row>
    <row r="62" spans="2:14" hidden="1" x14ac:dyDescent="0.2">
      <c r="B62" s="173"/>
      <c r="C62" s="37">
        <f t="shared" si="0"/>
        <v>0.3</v>
      </c>
      <c r="D62" s="37">
        <v>0.85</v>
      </c>
      <c r="E62" s="37">
        <v>0.87</v>
      </c>
      <c r="F62" s="37">
        <v>0.54</v>
      </c>
      <c r="G62" s="37">
        <v>0.76</v>
      </c>
      <c r="H62" s="39"/>
      <c r="I62" s="2"/>
      <c r="J62" s="2"/>
      <c r="K62" s="2"/>
      <c r="L62" s="2"/>
      <c r="M62" s="2"/>
      <c r="N62" s="163"/>
    </row>
    <row r="63" spans="2:14" hidden="1" x14ac:dyDescent="0.2">
      <c r="B63" s="173"/>
      <c r="C63" s="37">
        <f t="shared" si="0"/>
        <v>0.35</v>
      </c>
      <c r="D63" s="37">
        <v>0.87</v>
      </c>
      <c r="E63" s="37">
        <v>0.87</v>
      </c>
      <c r="F63" s="37">
        <v>0.62</v>
      </c>
      <c r="G63" s="37">
        <v>0.84</v>
      </c>
      <c r="H63" s="39"/>
      <c r="I63" s="2"/>
      <c r="J63" s="2"/>
      <c r="K63" s="2"/>
      <c r="L63" s="2"/>
      <c r="M63" s="2"/>
      <c r="N63" s="163"/>
    </row>
    <row r="64" spans="2:14" hidden="1" x14ac:dyDescent="0.2">
      <c r="B64" s="173"/>
      <c r="C64" s="37">
        <f t="shared" si="0"/>
        <v>0.39999999999999997</v>
      </c>
      <c r="D64" s="37">
        <v>0.87</v>
      </c>
      <c r="E64" s="37">
        <v>0.88</v>
      </c>
      <c r="F64" s="37">
        <v>0.7</v>
      </c>
      <c r="G64" s="37">
        <v>0.88</v>
      </c>
      <c r="H64" s="39"/>
      <c r="I64" s="2"/>
      <c r="J64" s="2"/>
      <c r="K64" s="2"/>
      <c r="L64" s="2"/>
      <c r="M64" s="2"/>
      <c r="N64" s="163"/>
    </row>
    <row r="65" spans="2:14" hidden="1" x14ac:dyDescent="0.2">
      <c r="B65" s="173"/>
      <c r="C65" s="37">
        <f t="shared" si="0"/>
        <v>0.44999999999999996</v>
      </c>
      <c r="D65" s="37">
        <v>0.88</v>
      </c>
      <c r="E65" s="37">
        <v>0.87</v>
      </c>
      <c r="F65" s="37">
        <v>0.76</v>
      </c>
      <c r="G65" s="37">
        <v>0.9</v>
      </c>
      <c r="H65" s="39"/>
      <c r="I65" s="2"/>
      <c r="J65" s="2"/>
      <c r="K65" s="2"/>
      <c r="L65" s="2"/>
      <c r="M65" s="2"/>
      <c r="N65" s="163"/>
    </row>
    <row r="66" spans="2:14" hidden="1" x14ac:dyDescent="0.2">
      <c r="B66" s="173"/>
      <c r="C66" s="37">
        <f t="shared" si="0"/>
        <v>0.49999999999999994</v>
      </c>
      <c r="D66" s="37">
        <v>0.88</v>
      </c>
      <c r="E66" s="37">
        <v>0.86</v>
      </c>
      <c r="F66" s="37">
        <v>0.81</v>
      </c>
      <c r="G66" s="37">
        <v>0.91</v>
      </c>
      <c r="H66" s="39"/>
      <c r="I66" s="2"/>
      <c r="J66" s="2"/>
      <c r="K66" s="2"/>
      <c r="L66" s="2"/>
      <c r="M66" s="2"/>
      <c r="N66" s="163"/>
    </row>
    <row r="67" spans="2:14" hidden="1" x14ac:dyDescent="0.2">
      <c r="B67" s="173"/>
      <c r="C67" s="37">
        <f t="shared" si="0"/>
        <v>0.54999999999999993</v>
      </c>
      <c r="D67" s="37">
        <v>0.88</v>
      </c>
      <c r="E67" s="37">
        <v>0.86</v>
      </c>
      <c r="F67" s="37">
        <v>0.85</v>
      </c>
      <c r="G67" s="37">
        <v>0.91</v>
      </c>
      <c r="H67" s="39"/>
      <c r="I67" s="2"/>
      <c r="J67" s="2"/>
      <c r="K67" s="2"/>
      <c r="L67" s="2"/>
      <c r="M67" s="2"/>
      <c r="N67" s="163"/>
    </row>
    <row r="68" spans="2:14" hidden="1" x14ac:dyDescent="0.2">
      <c r="B68" s="173"/>
      <c r="C68" s="37">
        <f t="shared" si="0"/>
        <v>0.6</v>
      </c>
      <c r="D68" s="37">
        <v>0.88</v>
      </c>
      <c r="E68" s="37">
        <v>0.85</v>
      </c>
      <c r="F68" s="37">
        <v>0.88</v>
      </c>
      <c r="G68" s="37">
        <v>0.91</v>
      </c>
      <c r="H68" s="39"/>
      <c r="I68" s="2"/>
      <c r="J68" s="2"/>
      <c r="K68" s="2"/>
      <c r="L68" s="2"/>
      <c r="M68" s="2"/>
      <c r="N68" s="163"/>
    </row>
    <row r="69" spans="2:14" hidden="1" x14ac:dyDescent="0.2">
      <c r="B69" s="173"/>
      <c r="C69" s="37">
        <f t="shared" si="0"/>
        <v>0.65</v>
      </c>
      <c r="D69" s="37">
        <v>0.88</v>
      </c>
      <c r="E69" s="37">
        <v>0.84</v>
      </c>
      <c r="F69" s="37">
        <v>0.9</v>
      </c>
      <c r="G69" s="37">
        <v>0.91</v>
      </c>
      <c r="H69" s="39"/>
      <c r="I69" s="2"/>
      <c r="J69" s="2"/>
      <c r="K69" s="2"/>
      <c r="L69" s="2"/>
      <c r="M69" s="2"/>
      <c r="N69" s="163"/>
    </row>
    <row r="70" spans="2:14" hidden="1" x14ac:dyDescent="0.2">
      <c r="B70" s="173"/>
      <c r="C70" s="37">
        <f t="shared" si="0"/>
        <v>0.70000000000000007</v>
      </c>
      <c r="D70" s="37">
        <v>0.88</v>
      </c>
      <c r="E70" s="37">
        <v>0.84</v>
      </c>
      <c r="F70" s="37">
        <v>0.91</v>
      </c>
      <c r="G70" s="37">
        <v>0.91</v>
      </c>
      <c r="H70" s="39"/>
      <c r="I70" s="2"/>
      <c r="J70" s="2"/>
      <c r="K70" s="2"/>
      <c r="L70" s="2"/>
      <c r="M70" s="2"/>
      <c r="N70" s="163"/>
    </row>
    <row r="71" spans="2:14" hidden="1" x14ac:dyDescent="0.2">
      <c r="B71" s="173"/>
      <c r="C71" s="37">
        <f t="shared" si="0"/>
        <v>0.75000000000000011</v>
      </c>
      <c r="D71" s="37">
        <v>0.88</v>
      </c>
      <c r="E71" s="37">
        <v>0.83</v>
      </c>
      <c r="F71" s="37">
        <v>0.92</v>
      </c>
      <c r="G71" s="37">
        <v>0.91</v>
      </c>
      <c r="H71" s="39"/>
      <c r="I71" s="2"/>
      <c r="J71" s="2"/>
      <c r="K71" s="2"/>
      <c r="L71" s="2"/>
      <c r="M71" s="2"/>
      <c r="N71" s="163"/>
    </row>
    <row r="72" spans="2:14" hidden="1" x14ac:dyDescent="0.2">
      <c r="B72" s="173"/>
      <c r="C72" s="37">
        <f t="shared" si="0"/>
        <v>0.80000000000000016</v>
      </c>
      <c r="D72" s="37">
        <v>0.88</v>
      </c>
      <c r="E72" s="37">
        <v>0.83</v>
      </c>
      <c r="F72" s="37">
        <v>0.92</v>
      </c>
      <c r="G72" s="37">
        <v>0.91</v>
      </c>
      <c r="H72" s="39"/>
      <c r="I72" s="2"/>
      <c r="J72" s="2"/>
      <c r="K72" s="2"/>
      <c r="L72" s="2"/>
      <c r="M72" s="2"/>
      <c r="N72" s="163"/>
    </row>
    <row r="73" spans="2:14" hidden="1" x14ac:dyDescent="0.2">
      <c r="B73" s="173"/>
      <c r="C73" s="37">
        <f t="shared" si="0"/>
        <v>0.8500000000000002</v>
      </c>
      <c r="D73" s="37">
        <v>0.88</v>
      </c>
      <c r="E73" s="37">
        <v>0.83</v>
      </c>
      <c r="F73" s="37">
        <v>0.92</v>
      </c>
      <c r="G73" s="37">
        <v>0.91</v>
      </c>
      <c r="H73" s="39"/>
      <c r="I73" s="2"/>
      <c r="J73" s="2"/>
      <c r="K73" s="2"/>
      <c r="L73" s="2"/>
      <c r="M73" s="2"/>
      <c r="N73" s="163"/>
    </row>
    <row r="74" spans="2:14" hidden="1" x14ac:dyDescent="0.2">
      <c r="B74" s="173"/>
      <c r="C74" s="37">
        <f t="shared" si="0"/>
        <v>0.90000000000000024</v>
      </c>
      <c r="D74" s="37">
        <v>0.88</v>
      </c>
      <c r="E74" s="37">
        <v>0.83</v>
      </c>
      <c r="F74" s="37">
        <v>0.91</v>
      </c>
      <c r="G74" s="37">
        <v>0.91</v>
      </c>
      <c r="H74" s="39"/>
      <c r="I74" s="2"/>
      <c r="J74" s="2"/>
      <c r="K74" s="2"/>
      <c r="L74" s="2"/>
      <c r="M74" s="2"/>
      <c r="N74" s="163"/>
    </row>
    <row r="75" spans="2:14" hidden="1" x14ac:dyDescent="0.2">
      <c r="B75" s="173"/>
      <c r="C75" s="37">
        <f t="shared" si="0"/>
        <v>0.95000000000000029</v>
      </c>
      <c r="D75" s="37">
        <v>0.87</v>
      </c>
      <c r="E75" s="37">
        <v>0.82</v>
      </c>
      <c r="F75" s="37">
        <v>0.9</v>
      </c>
      <c r="G75" s="37">
        <v>0.91</v>
      </c>
      <c r="H75" s="39"/>
      <c r="I75" s="2"/>
      <c r="J75" s="2"/>
      <c r="K75" s="2"/>
      <c r="L75" s="2"/>
      <c r="M75" s="2"/>
      <c r="N75" s="163"/>
    </row>
    <row r="76" spans="2:14" hidden="1" x14ac:dyDescent="0.2">
      <c r="B76" s="173"/>
      <c r="C76" s="37">
        <f t="shared" si="0"/>
        <v>1.0000000000000002</v>
      </c>
      <c r="D76" s="37">
        <v>0.86</v>
      </c>
      <c r="E76" s="37">
        <v>0.82</v>
      </c>
      <c r="F76" s="37">
        <v>0.88</v>
      </c>
      <c r="G76" s="37">
        <v>0.91</v>
      </c>
      <c r="H76" s="39"/>
      <c r="I76" s="2"/>
      <c r="J76" s="2"/>
      <c r="K76" s="2"/>
      <c r="L76" s="2"/>
      <c r="M76" s="2"/>
      <c r="N76" s="163"/>
    </row>
    <row r="77" spans="2:14" ht="17" thickBot="1" x14ac:dyDescent="0.25">
      <c r="B77" s="173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163"/>
    </row>
    <row r="78" spans="2:14" ht="26" thickTop="1" thickBot="1" x14ac:dyDescent="0.35">
      <c r="B78" s="173"/>
      <c r="C78" s="21" t="s">
        <v>65</v>
      </c>
      <c r="D78" s="21" t="s">
        <v>64</v>
      </c>
      <c r="E78" s="21" t="s">
        <v>63</v>
      </c>
      <c r="F78" s="2"/>
      <c r="G78" s="2"/>
      <c r="H78" s="65" t="s">
        <v>98</v>
      </c>
      <c r="I78" s="66"/>
      <c r="J78" s="276" t="s">
        <v>60</v>
      </c>
      <c r="K78" s="277"/>
      <c r="L78" s="2"/>
      <c r="M78" s="2"/>
      <c r="N78" s="163"/>
    </row>
    <row r="79" spans="2:14" x14ac:dyDescent="0.2">
      <c r="B79" s="173"/>
      <c r="C79" s="37">
        <v>0</v>
      </c>
      <c r="D79" s="28">
        <f t="shared" ref="D79:D99" si="1">$E$7*C79</f>
        <v>0</v>
      </c>
      <c r="E79" s="37">
        <v>0</v>
      </c>
      <c r="F79" s="2"/>
      <c r="G79" s="2"/>
      <c r="H79" s="2"/>
      <c r="I79" s="2"/>
      <c r="J79" s="2"/>
      <c r="K79" s="2"/>
      <c r="L79" s="2"/>
      <c r="M79" s="2"/>
      <c r="N79" s="163"/>
    </row>
    <row r="80" spans="2:14" x14ac:dyDescent="0.2">
      <c r="B80" s="173"/>
      <c r="C80" s="37">
        <f t="shared" ref="C80:C99" si="2">C79+0.05</f>
        <v>0.05</v>
      </c>
      <c r="D80" s="28">
        <f t="shared" si="1"/>
        <v>0.11175249999999999</v>
      </c>
      <c r="E80" s="37">
        <f t="shared" ref="E80:E99" si="3">SUMIF($D$55:$G$55,$J$78,$D57:$G57)</f>
        <v>0</v>
      </c>
      <c r="F80" s="2"/>
      <c r="G80" s="2"/>
      <c r="H80" s="2"/>
      <c r="I80" s="2"/>
      <c r="J80" s="2"/>
      <c r="K80" s="2"/>
      <c r="L80" s="2"/>
      <c r="M80" s="2"/>
      <c r="N80" s="163"/>
    </row>
    <row r="81" spans="2:14" x14ac:dyDescent="0.2">
      <c r="B81" s="173"/>
      <c r="C81" s="37">
        <f t="shared" si="2"/>
        <v>0.1</v>
      </c>
      <c r="D81" s="28">
        <f t="shared" si="1"/>
        <v>0.22350499999999998</v>
      </c>
      <c r="E81" s="37">
        <f t="shared" si="3"/>
        <v>0.08</v>
      </c>
      <c r="F81" s="2"/>
      <c r="G81" s="2"/>
      <c r="H81" s="2"/>
      <c r="I81" s="2"/>
      <c r="J81" s="2"/>
      <c r="K81" s="2"/>
      <c r="L81" s="2"/>
      <c r="M81" s="2"/>
      <c r="N81" s="163"/>
    </row>
    <row r="82" spans="2:14" x14ac:dyDescent="0.2">
      <c r="B82" s="173"/>
      <c r="C82" s="37">
        <f t="shared" si="2"/>
        <v>0.15000000000000002</v>
      </c>
      <c r="D82" s="28">
        <f t="shared" si="1"/>
        <v>0.33525749999999999</v>
      </c>
      <c r="E82" s="37">
        <f t="shared" si="3"/>
        <v>0.22</v>
      </c>
      <c r="F82" s="2"/>
      <c r="G82" s="2"/>
      <c r="H82" s="2"/>
      <c r="I82" s="2"/>
      <c r="J82" s="2"/>
      <c r="K82" s="2"/>
      <c r="L82" s="2"/>
      <c r="M82" s="2"/>
      <c r="N82" s="163"/>
    </row>
    <row r="83" spans="2:14" x14ac:dyDescent="0.2">
      <c r="B83" s="173"/>
      <c r="C83" s="37">
        <f t="shared" si="2"/>
        <v>0.2</v>
      </c>
      <c r="D83" s="28">
        <f t="shared" si="1"/>
        <v>0.44700999999999996</v>
      </c>
      <c r="E83" s="37">
        <f t="shared" si="3"/>
        <v>0.34</v>
      </c>
      <c r="F83" s="2"/>
      <c r="G83" s="2"/>
      <c r="H83" s="2"/>
      <c r="I83" s="2"/>
      <c r="J83" s="2"/>
      <c r="K83" s="2"/>
      <c r="L83" s="2"/>
      <c r="M83" s="2"/>
      <c r="N83" s="163"/>
    </row>
    <row r="84" spans="2:14" x14ac:dyDescent="0.2">
      <c r="B84" s="173"/>
      <c r="C84" s="37">
        <f t="shared" si="2"/>
        <v>0.25</v>
      </c>
      <c r="D84" s="28">
        <f t="shared" si="1"/>
        <v>0.55876249999999994</v>
      </c>
      <c r="E84" s="37">
        <f t="shared" si="3"/>
        <v>0.44</v>
      </c>
      <c r="F84" s="2"/>
      <c r="G84" s="2"/>
      <c r="H84" s="2"/>
      <c r="I84" s="2"/>
      <c r="J84" s="2"/>
      <c r="K84" s="2"/>
      <c r="L84" s="2"/>
      <c r="M84" s="2"/>
      <c r="N84" s="163"/>
    </row>
    <row r="85" spans="2:14" x14ac:dyDescent="0.2">
      <c r="B85" s="173"/>
      <c r="C85" s="37">
        <f t="shared" si="2"/>
        <v>0.3</v>
      </c>
      <c r="D85" s="28">
        <f t="shared" si="1"/>
        <v>0.67051499999999986</v>
      </c>
      <c r="E85" s="37">
        <f t="shared" si="3"/>
        <v>0.54</v>
      </c>
      <c r="F85" s="2"/>
      <c r="G85" s="2"/>
      <c r="H85" s="2"/>
      <c r="I85" s="2"/>
      <c r="J85" s="2"/>
      <c r="K85" s="2"/>
      <c r="L85" s="2"/>
      <c r="M85" s="2"/>
      <c r="N85" s="163"/>
    </row>
    <row r="86" spans="2:14" x14ac:dyDescent="0.2">
      <c r="B86" s="173"/>
      <c r="C86" s="37">
        <f t="shared" si="2"/>
        <v>0.35</v>
      </c>
      <c r="D86" s="28">
        <f t="shared" si="1"/>
        <v>0.78226749999999989</v>
      </c>
      <c r="E86" s="37">
        <f t="shared" si="3"/>
        <v>0.62</v>
      </c>
      <c r="F86" s="2"/>
      <c r="G86" s="2"/>
      <c r="H86" s="2"/>
      <c r="I86" s="2"/>
      <c r="J86" s="2"/>
      <c r="K86" s="2"/>
      <c r="L86" s="2"/>
      <c r="M86" s="2"/>
      <c r="N86" s="163"/>
    </row>
    <row r="87" spans="2:14" x14ac:dyDescent="0.2">
      <c r="B87" s="173"/>
      <c r="C87" s="37">
        <f t="shared" si="2"/>
        <v>0.39999999999999997</v>
      </c>
      <c r="D87" s="28">
        <f t="shared" si="1"/>
        <v>0.89401999999999981</v>
      </c>
      <c r="E87" s="37">
        <f t="shared" si="3"/>
        <v>0.7</v>
      </c>
      <c r="F87" s="2"/>
      <c r="G87" s="2"/>
      <c r="H87" s="2"/>
      <c r="I87" s="2"/>
      <c r="J87" s="2"/>
      <c r="K87" s="2"/>
      <c r="L87" s="2"/>
      <c r="M87" s="2"/>
      <c r="N87" s="163"/>
    </row>
    <row r="88" spans="2:14" x14ac:dyDescent="0.2">
      <c r="B88" s="173"/>
      <c r="C88" s="37">
        <f t="shared" si="2"/>
        <v>0.44999999999999996</v>
      </c>
      <c r="D88" s="28">
        <f t="shared" si="1"/>
        <v>1.0057724999999997</v>
      </c>
      <c r="E88" s="37">
        <f t="shared" si="3"/>
        <v>0.76</v>
      </c>
      <c r="F88" s="2"/>
      <c r="G88" s="2"/>
      <c r="H88" s="2"/>
      <c r="I88" s="2"/>
      <c r="J88" s="2"/>
      <c r="K88" s="2"/>
      <c r="L88" s="2"/>
      <c r="M88" s="2"/>
      <c r="N88" s="163"/>
    </row>
    <row r="89" spans="2:14" x14ac:dyDescent="0.2">
      <c r="B89" s="173"/>
      <c r="C89" s="37">
        <f t="shared" si="2"/>
        <v>0.49999999999999994</v>
      </c>
      <c r="D89" s="28">
        <f t="shared" si="1"/>
        <v>1.1175249999999997</v>
      </c>
      <c r="E89" s="37">
        <f t="shared" si="3"/>
        <v>0.81</v>
      </c>
      <c r="F89" s="2"/>
      <c r="G89" s="2"/>
      <c r="H89" s="2"/>
      <c r="I89" s="2"/>
      <c r="J89" s="2"/>
      <c r="K89" s="2"/>
      <c r="L89" s="2"/>
      <c r="M89" s="2"/>
      <c r="N89" s="163"/>
    </row>
    <row r="90" spans="2:14" x14ac:dyDescent="0.2">
      <c r="B90" s="173"/>
      <c r="C90" s="37">
        <f t="shared" si="2"/>
        <v>0.54999999999999993</v>
      </c>
      <c r="D90" s="28">
        <f t="shared" si="1"/>
        <v>1.2292774999999998</v>
      </c>
      <c r="E90" s="37">
        <f t="shared" si="3"/>
        <v>0.85</v>
      </c>
      <c r="F90" s="2"/>
      <c r="G90" s="2"/>
      <c r="H90" s="2"/>
      <c r="I90" s="2"/>
      <c r="J90" s="2"/>
      <c r="K90" s="2"/>
      <c r="L90" s="2"/>
      <c r="M90" s="2"/>
      <c r="N90" s="163"/>
    </row>
    <row r="91" spans="2:14" x14ac:dyDescent="0.2">
      <c r="B91" s="173"/>
      <c r="C91" s="37">
        <f t="shared" si="2"/>
        <v>0.6</v>
      </c>
      <c r="D91" s="28">
        <f t="shared" si="1"/>
        <v>1.3410299999999997</v>
      </c>
      <c r="E91" s="37">
        <f t="shared" si="3"/>
        <v>0.88</v>
      </c>
      <c r="F91" s="2"/>
      <c r="G91" s="2"/>
      <c r="H91" s="2"/>
      <c r="I91" s="2"/>
      <c r="J91" s="2"/>
      <c r="K91" s="2"/>
      <c r="L91" s="2"/>
      <c r="M91" s="2"/>
      <c r="N91" s="163"/>
    </row>
    <row r="92" spans="2:14" x14ac:dyDescent="0.2">
      <c r="B92" s="173"/>
      <c r="C92" s="37">
        <f t="shared" si="2"/>
        <v>0.65</v>
      </c>
      <c r="D92" s="28">
        <f t="shared" si="1"/>
        <v>1.4527824999999999</v>
      </c>
      <c r="E92" s="37">
        <f t="shared" si="3"/>
        <v>0.9</v>
      </c>
      <c r="F92" s="2"/>
      <c r="G92" s="2"/>
      <c r="H92" s="2"/>
      <c r="I92" s="2"/>
      <c r="J92" s="2"/>
      <c r="K92" s="2"/>
      <c r="L92" s="2"/>
      <c r="M92" s="2"/>
      <c r="N92" s="163"/>
    </row>
    <row r="93" spans="2:14" x14ac:dyDescent="0.2">
      <c r="B93" s="173"/>
      <c r="C93" s="37">
        <f t="shared" si="2"/>
        <v>0.70000000000000007</v>
      </c>
      <c r="D93" s="28">
        <f t="shared" si="1"/>
        <v>1.564535</v>
      </c>
      <c r="E93" s="37">
        <f t="shared" si="3"/>
        <v>0.91</v>
      </c>
      <c r="F93" s="2"/>
      <c r="G93" s="2"/>
      <c r="H93" s="2"/>
      <c r="I93" s="2"/>
      <c r="J93" s="2"/>
      <c r="K93" s="2"/>
      <c r="L93" s="2"/>
      <c r="M93" s="2"/>
      <c r="N93" s="163"/>
    </row>
    <row r="94" spans="2:14" x14ac:dyDescent="0.2">
      <c r="B94" s="173"/>
      <c r="C94" s="37">
        <f t="shared" si="2"/>
        <v>0.75000000000000011</v>
      </c>
      <c r="D94" s="28">
        <f t="shared" si="1"/>
        <v>1.6762875000000002</v>
      </c>
      <c r="E94" s="37">
        <f t="shared" si="3"/>
        <v>0.92</v>
      </c>
      <c r="F94" s="2"/>
      <c r="G94" s="2"/>
      <c r="H94" s="2"/>
      <c r="I94" s="2"/>
      <c r="J94" s="2"/>
      <c r="K94" s="2"/>
      <c r="L94" s="2"/>
      <c r="M94" s="2"/>
      <c r="N94" s="163"/>
    </row>
    <row r="95" spans="2:14" x14ac:dyDescent="0.2">
      <c r="B95" s="173"/>
      <c r="C95" s="37">
        <f t="shared" si="2"/>
        <v>0.80000000000000016</v>
      </c>
      <c r="D95" s="28">
        <f t="shared" si="1"/>
        <v>1.7880400000000001</v>
      </c>
      <c r="E95" s="37">
        <f t="shared" si="3"/>
        <v>0.92</v>
      </c>
      <c r="F95" s="2"/>
      <c r="G95" s="2"/>
      <c r="H95" s="2"/>
      <c r="I95" s="2"/>
      <c r="J95" s="2"/>
      <c r="K95" s="2"/>
      <c r="L95" s="2"/>
      <c r="M95" s="2"/>
      <c r="N95" s="163"/>
    </row>
    <row r="96" spans="2:14" x14ac:dyDescent="0.2">
      <c r="B96" s="173"/>
      <c r="C96" s="37">
        <f t="shared" si="2"/>
        <v>0.8500000000000002</v>
      </c>
      <c r="D96" s="28">
        <f t="shared" si="1"/>
        <v>1.8997925000000002</v>
      </c>
      <c r="E96" s="37">
        <f t="shared" si="3"/>
        <v>0.92</v>
      </c>
      <c r="F96" s="2"/>
      <c r="G96" s="2"/>
      <c r="H96" s="2"/>
      <c r="I96" s="2"/>
      <c r="J96" s="2"/>
      <c r="K96" s="2"/>
      <c r="L96" s="2"/>
      <c r="M96" s="2"/>
      <c r="N96" s="163"/>
    </row>
    <row r="97" spans="2:14" x14ac:dyDescent="0.2">
      <c r="B97" s="173"/>
      <c r="C97" s="37">
        <f t="shared" si="2"/>
        <v>0.90000000000000024</v>
      </c>
      <c r="D97" s="28">
        <f t="shared" si="1"/>
        <v>2.0115450000000004</v>
      </c>
      <c r="E97" s="37">
        <f t="shared" si="3"/>
        <v>0.91</v>
      </c>
      <c r="F97" s="2"/>
      <c r="G97" s="2"/>
      <c r="H97" s="2"/>
      <c r="I97" s="2"/>
      <c r="J97" s="2"/>
      <c r="K97" s="2"/>
      <c r="L97" s="2"/>
      <c r="M97" s="2"/>
      <c r="N97" s="163"/>
    </row>
    <row r="98" spans="2:14" x14ac:dyDescent="0.2">
      <c r="B98" s="173"/>
      <c r="C98" s="37">
        <f t="shared" si="2"/>
        <v>0.95000000000000029</v>
      </c>
      <c r="D98" s="28">
        <f t="shared" si="1"/>
        <v>2.1232975000000005</v>
      </c>
      <c r="E98" s="37">
        <f t="shared" si="3"/>
        <v>0.9</v>
      </c>
      <c r="F98" s="2"/>
      <c r="G98" s="2"/>
      <c r="H98" s="2"/>
      <c r="I98" s="2"/>
      <c r="J98" s="2"/>
      <c r="K98" s="2"/>
      <c r="L98" s="2"/>
      <c r="M98" s="2"/>
      <c r="N98" s="163"/>
    </row>
    <row r="99" spans="2:14" x14ac:dyDescent="0.2">
      <c r="B99" s="173"/>
      <c r="C99" s="37">
        <f t="shared" si="2"/>
        <v>1.0000000000000002</v>
      </c>
      <c r="D99" s="28">
        <f t="shared" si="1"/>
        <v>2.2350500000000002</v>
      </c>
      <c r="E99" s="37">
        <f t="shared" si="3"/>
        <v>0.88</v>
      </c>
      <c r="F99" s="2"/>
      <c r="G99" s="2"/>
      <c r="H99" s="2"/>
      <c r="I99" s="2"/>
      <c r="J99" s="2"/>
      <c r="K99" s="2"/>
      <c r="L99" s="2"/>
      <c r="M99" s="2"/>
      <c r="N99" s="163"/>
    </row>
    <row r="100" spans="2:14" ht="17" thickBot="1" x14ac:dyDescent="0.25">
      <c r="B100" s="173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163"/>
    </row>
    <row r="101" spans="2:14" ht="20" thickBot="1" x14ac:dyDescent="0.3">
      <c r="B101" s="173"/>
      <c r="C101" s="33" t="s">
        <v>79</v>
      </c>
      <c r="D101" s="34"/>
      <c r="E101" s="40"/>
      <c r="F101" s="13"/>
      <c r="G101" s="41">
        <f>MAX(E79:E99)</f>
        <v>0.92</v>
      </c>
      <c r="H101" s="2"/>
      <c r="I101" s="2"/>
      <c r="J101" s="2"/>
      <c r="K101" s="2"/>
      <c r="L101" s="2"/>
      <c r="M101" s="2"/>
      <c r="N101" s="163"/>
    </row>
    <row r="102" spans="2:14" ht="20" thickBot="1" x14ac:dyDescent="0.3">
      <c r="B102" s="173"/>
      <c r="C102" s="48"/>
      <c r="D102" s="48"/>
      <c r="E102" s="48"/>
      <c r="F102" s="50"/>
      <c r="G102" s="2"/>
      <c r="H102" s="2"/>
      <c r="I102" s="2"/>
      <c r="J102" s="2"/>
      <c r="K102" s="199" t="s">
        <v>74</v>
      </c>
      <c r="L102" s="211">
        <f>'Valutazione risorsa idrica'!E100/'Valutazione risorsa idrica'!K69</f>
        <v>0.61069047672311583</v>
      </c>
      <c r="M102" s="199"/>
      <c r="N102" s="163"/>
    </row>
    <row r="103" spans="2:14" ht="20" thickBot="1" x14ac:dyDescent="0.3">
      <c r="B103" s="173"/>
      <c r="C103" s="33" t="s">
        <v>78</v>
      </c>
      <c r="D103" s="34"/>
      <c r="E103" s="34"/>
      <c r="F103" s="13"/>
      <c r="G103" s="41">
        <f>E99</f>
        <v>0.88</v>
      </c>
      <c r="H103" s="2"/>
      <c r="I103" s="2"/>
      <c r="J103" s="2"/>
      <c r="K103" s="199"/>
      <c r="L103" s="211"/>
      <c r="M103" s="199"/>
      <c r="N103" s="163"/>
    </row>
    <row r="104" spans="2:14" ht="20" thickBot="1" x14ac:dyDescent="0.3">
      <c r="B104" s="173"/>
      <c r="C104" s="48"/>
      <c r="D104" s="48"/>
      <c r="E104" s="34"/>
      <c r="F104" s="52"/>
      <c r="G104" s="2"/>
      <c r="H104" s="2"/>
      <c r="I104" s="2"/>
      <c r="J104" s="2"/>
      <c r="K104" s="199" t="s">
        <v>75</v>
      </c>
      <c r="L104" s="211">
        <f>INDEX(C79:E99,MATCH(L102,C79:C99,1),1)</f>
        <v>0.6</v>
      </c>
      <c r="M104" s="211">
        <f>INDEX(C79:E99,MATCH(L102,C79:C99,1),3)</f>
        <v>0.88</v>
      </c>
      <c r="N104" s="163"/>
    </row>
    <row r="105" spans="2:14" ht="20" thickBot="1" x14ac:dyDescent="0.3">
      <c r="B105" s="173"/>
      <c r="C105" s="33" t="s">
        <v>77</v>
      </c>
      <c r="D105" s="34"/>
      <c r="E105" s="34"/>
      <c r="F105" s="3"/>
      <c r="G105" s="41">
        <f>K107</f>
        <v>0.88427619068924634</v>
      </c>
      <c r="H105" s="2"/>
      <c r="I105" s="2"/>
      <c r="J105" s="2"/>
      <c r="K105" s="199" t="s">
        <v>76</v>
      </c>
      <c r="L105" s="211">
        <f>INDEX(C79:E99,MATCH(L102,C79:C99,1)+1,1)</f>
        <v>0.65</v>
      </c>
      <c r="M105" s="211">
        <f>INDEX(C79:E99,MATCH(L102,C79:C99,1)+1,3)</f>
        <v>0.9</v>
      </c>
      <c r="N105" s="163"/>
    </row>
    <row r="106" spans="2:14" ht="20" thickBot="1" x14ac:dyDescent="0.3">
      <c r="B106" s="173"/>
      <c r="C106" s="48"/>
      <c r="D106" s="48"/>
      <c r="E106" s="48"/>
      <c r="F106" s="49"/>
      <c r="G106" s="2"/>
      <c r="H106" s="2"/>
      <c r="I106" s="2"/>
      <c r="J106" s="2"/>
      <c r="K106" s="199"/>
      <c r="L106" s="199"/>
      <c r="M106" s="199"/>
      <c r="N106" s="163"/>
    </row>
    <row r="107" spans="2:14" ht="21" thickBot="1" x14ac:dyDescent="0.3">
      <c r="B107" s="173"/>
      <c r="C107" s="33" t="s">
        <v>235</v>
      </c>
      <c r="D107" s="34"/>
      <c r="E107" s="34"/>
      <c r="F107" s="13"/>
      <c r="G107" s="51">
        <f>E7*I107</f>
        <v>0.89401999999999993</v>
      </c>
      <c r="H107" s="208" t="s">
        <v>50</v>
      </c>
      <c r="I107" s="210">
        <v>0.4</v>
      </c>
      <c r="J107" s="68" t="s">
        <v>68</v>
      </c>
      <c r="K107" s="211">
        <f>TREND(M104:M105,L104:L105,L102)</f>
        <v>0.88427619068924634</v>
      </c>
      <c r="L107" s="199"/>
      <c r="M107" s="199"/>
      <c r="N107" s="163"/>
    </row>
    <row r="108" spans="2:14" x14ac:dyDescent="0.2">
      <c r="B108" s="173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163"/>
    </row>
    <row r="109" spans="2:14" x14ac:dyDescent="0.2">
      <c r="B109" s="173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163"/>
    </row>
    <row r="110" spans="2:14" x14ac:dyDescent="0.2">
      <c r="B110" s="173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163"/>
    </row>
    <row r="111" spans="2:14" hidden="1" x14ac:dyDescent="0.2">
      <c r="B111" s="173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163"/>
    </row>
    <row r="112" spans="2:14" hidden="1" x14ac:dyDescent="0.2">
      <c r="B112" s="173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163"/>
    </row>
    <row r="113" spans="2:14" hidden="1" x14ac:dyDescent="0.2">
      <c r="B113" s="173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163"/>
    </row>
    <row r="114" spans="2:14" hidden="1" x14ac:dyDescent="0.2">
      <c r="B114" s="173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163"/>
    </row>
    <row r="115" spans="2:14" ht="17" hidden="1" thickBot="1" x14ac:dyDescent="0.25">
      <c r="B115" s="173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163"/>
    </row>
    <row r="116" spans="2:14" hidden="1" x14ac:dyDescent="0.2">
      <c r="B116" s="173"/>
      <c r="C116" s="2"/>
      <c r="D116" s="2"/>
      <c r="E116" s="2"/>
      <c r="F116" s="2"/>
      <c r="G116" s="171" t="s">
        <v>83</v>
      </c>
      <c r="H116" s="171" t="s">
        <v>84</v>
      </c>
      <c r="I116" s="44" t="s">
        <v>85</v>
      </c>
      <c r="J116" s="171"/>
      <c r="K116" s="2"/>
      <c r="L116" s="56" t="s">
        <v>83</v>
      </c>
      <c r="M116" s="57" t="s">
        <v>82</v>
      </c>
      <c r="N116" s="163"/>
    </row>
    <row r="117" spans="2:14" hidden="1" x14ac:dyDescent="0.2">
      <c r="B117" s="173"/>
      <c r="C117" s="2"/>
      <c r="D117" s="2"/>
      <c r="E117" s="2"/>
      <c r="F117" s="2"/>
      <c r="G117" s="46">
        <f>'Valutazione Potenziale'!H21</f>
        <v>1</v>
      </c>
      <c r="H117" s="46">
        <f>INDEX($C$79:$E$99,MATCH(G117,$C$79:$C$99,1),1)</f>
        <v>0.95000000000000029</v>
      </c>
      <c r="I117" s="53">
        <f>INDEX($C$79:$E$99,MATCH(G117,$C$79:$C$99,1),3)</f>
        <v>0.9</v>
      </c>
      <c r="J117" s="55">
        <f>TREND(I117:I118,H117:H118,G117)</f>
        <v>0.88000000000000023</v>
      </c>
      <c r="K117" s="2"/>
      <c r="L117" s="58">
        <f>'Valutazione Potenziale'!H21</f>
        <v>1</v>
      </c>
      <c r="M117" s="59">
        <f>J117</f>
        <v>0.88000000000000023</v>
      </c>
      <c r="N117" s="163"/>
    </row>
    <row r="118" spans="2:14" hidden="1" x14ac:dyDescent="0.2">
      <c r="B118" s="173"/>
      <c r="C118" s="2"/>
      <c r="D118" s="2"/>
      <c r="E118" s="2"/>
      <c r="F118" s="2"/>
      <c r="G118" s="46"/>
      <c r="H118" s="46">
        <f>INDEX($C$79:$E$99,MATCH(G117,$C$79:$C$99,1)+1,1)</f>
        <v>1.0000000000000002</v>
      </c>
      <c r="I118" s="53">
        <f>INDEX($C$79:$E$99,MATCH(G117,$C$79:$C$99,1)+1,3)</f>
        <v>0.88</v>
      </c>
      <c r="J118" s="55"/>
      <c r="K118" s="54"/>
      <c r="L118" s="58">
        <f>'Valutazione Potenziale'!H22</f>
        <v>1</v>
      </c>
      <c r="M118" s="59">
        <f>J120</f>
        <v>0.88000000000000023</v>
      </c>
      <c r="N118" s="163"/>
    </row>
    <row r="119" spans="2:14" hidden="1" x14ac:dyDescent="0.2">
      <c r="B119" s="173"/>
      <c r="C119" s="2"/>
      <c r="D119" s="2"/>
      <c r="E119" s="2"/>
      <c r="F119" s="2"/>
      <c r="G119" s="46"/>
      <c r="H119" s="46"/>
      <c r="I119" s="53"/>
      <c r="J119" s="55"/>
      <c r="K119" s="54"/>
      <c r="L119" s="58">
        <f>'Valutazione Potenziale'!H23</f>
        <v>1</v>
      </c>
      <c r="M119" s="59">
        <f>J123</f>
        <v>0.88000000000000023</v>
      </c>
      <c r="N119" s="163"/>
    </row>
    <row r="120" spans="2:14" hidden="1" x14ac:dyDescent="0.2">
      <c r="B120" s="173"/>
      <c r="C120" s="2"/>
      <c r="D120" s="2"/>
      <c r="E120" s="2"/>
      <c r="F120" s="2"/>
      <c r="G120" s="46">
        <f>'Valutazione Potenziale'!H22</f>
        <v>1</v>
      </c>
      <c r="H120" s="46">
        <f>INDEX($C$79:$E$99,MATCH(G120,$C$79:$C$99,1),1)</f>
        <v>0.95000000000000029</v>
      </c>
      <c r="I120" s="53">
        <f>INDEX($C$79:$E$99,MATCH(G120,$C$79:$C$99,1),3)</f>
        <v>0.9</v>
      </c>
      <c r="J120" s="55">
        <f t="shared" ref="J120:J177" si="4">TREND(I120:I121,H120:H121,G120)</f>
        <v>0.88000000000000023</v>
      </c>
      <c r="K120" s="2"/>
      <c r="L120" s="58">
        <f>'Valutazione Potenziale'!H24</f>
        <v>1</v>
      </c>
      <c r="M120" s="59">
        <f>J129</f>
        <v>0.90342251851189015</v>
      </c>
      <c r="N120" s="163"/>
    </row>
    <row r="121" spans="2:14" hidden="1" x14ac:dyDescent="0.2">
      <c r="B121" s="173"/>
      <c r="C121" s="2"/>
      <c r="D121" s="2"/>
      <c r="E121" s="2"/>
      <c r="F121" s="2"/>
      <c r="G121" s="46"/>
      <c r="H121" s="46">
        <f>INDEX($C$79:$E$99,MATCH(G120,$C$79:$C$99,1)+1,1)</f>
        <v>1.0000000000000002</v>
      </c>
      <c r="I121" s="53">
        <f>INDEX($C$79:$E$99,MATCH(G120,$C$79:$C$99,1)+1,3)</f>
        <v>0.88</v>
      </c>
      <c r="J121" s="55"/>
      <c r="K121" s="54"/>
      <c r="L121" s="58">
        <f>'Valutazione Potenziale'!H25</f>
        <v>0.93288740744054943</v>
      </c>
      <c r="M121" s="59">
        <f>J132</f>
        <v>0.91460795060513189</v>
      </c>
      <c r="N121" s="163"/>
    </row>
    <row r="122" spans="2:14" hidden="1" x14ac:dyDescent="0.2">
      <c r="B122" s="173"/>
      <c r="C122" s="2"/>
      <c r="D122" s="2"/>
      <c r="E122" s="2"/>
      <c r="F122" s="2"/>
      <c r="G122" s="46"/>
      <c r="H122" s="46"/>
      <c r="I122" s="53"/>
      <c r="J122" s="55"/>
      <c r="K122" s="54"/>
      <c r="L122" s="58">
        <f>'Valutazione Potenziale'!H26</f>
        <v>0.87696024697434072</v>
      </c>
      <c r="M122" s="59">
        <f>J135</f>
        <v>0.92</v>
      </c>
      <c r="N122" s="163"/>
    </row>
    <row r="123" spans="2:14" hidden="1" x14ac:dyDescent="0.2">
      <c r="B123" s="173"/>
      <c r="C123" s="2"/>
      <c r="D123" s="2"/>
      <c r="E123" s="2"/>
      <c r="F123" s="2"/>
      <c r="G123" s="46">
        <f>'Valutazione Potenziale'!H23</f>
        <v>1</v>
      </c>
      <c r="H123" s="46">
        <f>INDEX($C$79:$E$99,MATCH(G123,$C$79:$C$99,1),1)</f>
        <v>0.95000000000000029</v>
      </c>
      <c r="I123" s="53">
        <f>INDEX($C$79:$E$99,MATCH(G123,$C$79:$C$99,1),3)</f>
        <v>0.9</v>
      </c>
      <c r="J123" s="55">
        <f t="shared" si="4"/>
        <v>0.88000000000000023</v>
      </c>
      <c r="K123" s="2"/>
      <c r="L123" s="58">
        <f>'Valutazione Potenziale'!H27</f>
        <v>0.82103308650813189</v>
      </c>
      <c r="M123" s="59">
        <f>J138</f>
        <v>0.92</v>
      </c>
      <c r="N123" s="163"/>
    </row>
    <row r="124" spans="2:14" hidden="1" x14ac:dyDescent="0.2">
      <c r="B124" s="173"/>
      <c r="C124" s="2"/>
      <c r="D124" s="2"/>
      <c r="E124" s="2"/>
      <c r="F124" s="2"/>
      <c r="G124" s="46"/>
      <c r="H124" s="46">
        <f>INDEX($C$79:$E$99,MATCH(G123,$C$79:$C$99,1)+1,1)</f>
        <v>1.0000000000000002</v>
      </c>
      <c r="I124" s="53">
        <f>INDEX($C$79:$E$99,MATCH(G123,$C$79:$C$99,1)+1,3)</f>
        <v>0.88</v>
      </c>
      <c r="J124" s="55"/>
      <c r="K124" s="54"/>
      <c r="L124" s="58">
        <f>'Valutazione Potenziale'!H28</f>
        <v>0.77629135813516481</v>
      </c>
      <c r="M124" s="59">
        <f>J141</f>
        <v>0.91452025681752092</v>
      </c>
      <c r="N124" s="163"/>
    </row>
    <row r="125" spans="2:14" hidden="1" x14ac:dyDescent="0.2">
      <c r="B125" s="173"/>
      <c r="C125" s="2"/>
      <c r="D125" s="2"/>
      <c r="E125" s="2"/>
      <c r="F125" s="2"/>
      <c r="G125" s="46"/>
      <c r="H125" s="46"/>
      <c r="I125" s="53"/>
      <c r="J125" s="55"/>
      <c r="K125" s="54"/>
      <c r="L125" s="58">
        <f>'Valutazione Potenziale'!H29</f>
        <v>0.72260128408760438</v>
      </c>
      <c r="M125" s="59">
        <f>J144</f>
        <v>0.90557191114292745</v>
      </c>
      <c r="N125" s="163"/>
    </row>
    <row r="126" spans="2:14" hidden="1" x14ac:dyDescent="0.2">
      <c r="B126" s="173"/>
      <c r="C126" s="2"/>
      <c r="D126" s="2"/>
      <c r="E126" s="2"/>
      <c r="F126" s="2"/>
      <c r="G126" s="46">
        <f>'Valutazione Potenziale'!H24</f>
        <v>1</v>
      </c>
      <c r="H126" s="46">
        <f>INDEX($C$79:$E$99,MATCH(G126,$C$79:$C$99,1),1)</f>
        <v>0.95000000000000029</v>
      </c>
      <c r="I126" s="53">
        <f>INDEX($C$79:$E$99,MATCH(G126,$C$79:$C$99,1),3)</f>
        <v>0.9</v>
      </c>
      <c r="J126" s="55">
        <f t="shared" si="4"/>
        <v>0.88000000000000023</v>
      </c>
      <c r="K126" s="2"/>
      <c r="L126" s="58">
        <f>'Valutazione Potenziale'!H30</f>
        <v>0.6778595557146373</v>
      </c>
      <c r="M126" s="59">
        <f>J147</f>
        <v>0.89324713093666808</v>
      </c>
      <c r="N126" s="163"/>
    </row>
    <row r="127" spans="2:14" hidden="1" x14ac:dyDescent="0.2">
      <c r="B127" s="173"/>
      <c r="C127" s="2"/>
      <c r="D127" s="2"/>
      <c r="E127" s="2"/>
      <c r="F127" s="2"/>
      <c r="G127" s="46"/>
      <c r="H127" s="46">
        <f>INDEX($C$79:$E$99,MATCH(G126,$C$79:$C$99,1)+1,1)</f>
        <v>1.0000000000000002</v>
      </c>
      <c r="I127" s="53">
        <f>INDEX($C$79:$E$99,MATCH(G126,$C$79:$C$99,1)+1,3)</f>
        <v>0.88</v>
      </c>
      <c r="J127" s="55"/>
      <c r="K127" s="54"/>
      <c r="L127" s="58">
        <f>'Valutazione Potenziale'!H31</f>
        <v>0.63311782734167033</v>
      </c>
      <c r="M127" s="59">
        <f>J150</f>
        <v>0.8730256593812219</v>
      </c>
      <c r="N127" s="163"/>
    </row>
    <row r="128" spans="2:14" hidden="1" x14ac:dyDescent="0.2">
      <c r="B128" s="173"/>
      <c r="C128" s="2"/>
      <c r="D128" s="2"/>
      <c r="E128" s="2"/>
      <c r="F128" s="2"/>
      <c r="G128" s="46"/>
      <c r="H128" s="46"/>
      <c r="I128" s="53"/>
      <c r="J128" s="55"/>
      <c r="K128" s="54"/>
      <c r="L128" s="58">
        <f>'Valutazione Potenziale'!H32</f>
        <v>0.58837609896870324</v>
      </c>
      <c r="M128" s="59">
        <f>J153</f>
        <v>0.84132815820675177</v>
      </c>
      <c r="N128" s="163"/>
    </row>
    <row r="129" spans="2:16" hidden="1" x14ac:dyDescent="0.2">
      <c r="B129" s="173"/>
      <c r="C129" s="2"/>
      <c r="D129" s="2"/>
      <c r="E129" s="2"/>
      <c r="F129" s="2"/>
      <c r="G129" s="46">
        <f>'Valutazione Potenziale'!H25</f>
        <v>0.93288740744054943</v>
      </c>
      <c r="H129" s="46">
        <f>INDEX($C$79:$E$99,MATCH(G129,$C$79:$C$99,1),1)</f>
        <v>0.90000000000000024</v>
      </c>
      <c r="I129" s="53">
        <f>INDEX($C$79:$E$99,MATCH(G129,$C$79:$C$99,1),3)</f>
        <v>0.91</v>
      </c>
      <c r="J129" s="55">
        <f t="shared" si="4"/>
        <v>0.90342251851189015</v>
      </c>
      <c r="K129" s="2"/>
      <c r="L129" s="58">
        <f>'Valutazione Potenziale'!H33</f>
        <v>0.5391601977584396</v>
      </c>
      <c r="M129" s="59">
        <f>J156</f>
        <v>0.79994429654817578</v>
      </c>
      <c r="N129" s="163"/>
    </row>
    <row r="130" spans="2:16" hidden="1" x14ac:dyDescent="0.2">
      <c r="B130" s="173"/>
      <c r="C130" s="2"/>
      <c r="D130" s="2"/>
      <c r="E130" s="2"/>
      <c r="F130" s="2"/>
      <c r="G130" s="46"/>
      <c r="H130" s="46">
        <f>INDEX($C$79:$E$99,MATCH(G129,$C$79:$C$99,1)+1,1)</f>
        <v>0.95000000000000029</v>
      </c>
      <c r="I130" s="53">
        <f>INDEX($C$79:$E$99,MATCH(G129,$C$79:$C$99,1)+1,3)</f>
        <v>0.9</v>
      </c>
      <c r="J130" s="55"/>
      <c r="K130" s="54"/>
      <c r="L130" s="58">
        <f>'Valutazione Potenziale'!H34</f>
        <v>0.48994429654817573</v>
      </c>
      <c r="M130" s="59">
        <f>J159</f>
        <v>0.74887407440549447</v>
      </c>
      <c r="N130" s="163"/>
    </row>
    <row r="131" spans="2:16" hidden="1" x14ac:dyDescent="0.2">
      <c r="B131" s="173"/>
      <c r="C131" s="2"/>
      <c r="D131" s="2"/>
      <c r="E131" s="2"/>
      <c r="F131" s="2"/>
      <c r="G131" s="46"/>
      <c r="H131" s="46"/>
      <c r="I131" s="53"/>
      <c r="J131" s="55"/>
      <c r="K131" s="54"/>
      <c r="L131" s="58">
        <f>'Valutazione Potenziale'!H35</f>
        <v>0.44072839533791192</v>
      </c>
      <c r="M131" s="59">
        <f>J162</f>
        <v>0.67926131406456236</v>
      </c>
      <c r="N131" s="163"/>
    </row>
    <row r="132" spans="2:16" hidden="1" x14ac:dyDescent="0.2">
      <c r="B132" s="173"/>
      <c r="C132" s="2"/>
      <c r="D132" s="2"/>
      <c r="E132" s="2"/>
      <c r="F132" s="2"/>
      <c r="G132" s="46">
        <f>'Valutazione Potenziale'!H26</f>
        <v>0.87696024697434072</v>
      </c>
      <c r="H132" s="46">
        <f>INDEX($C$79:$E$99,MATCH(G132,$C$79:$C$99,1),1)</f>
        <v>0.8500000000000002</v>
      </c>
      <c r="I132" s="53">
        <f>INDEX($C$79:$E$99,MATCH(G132,$C$79:$C$99,1),3)</f>
        <v>0.92</v>
      </c>
      <c r="J132" s="55">
        <f t="shared" si="4"/>
        <v>0.91460795060513189</v>
      </c>
      <c r="K132" s="2"/>
      <c r="L132" s="58">
        <f>'Valutazione Potenziale'!H36</f>
        <v>0.38703832129035154</v>
      </c>
      <c r="M132" s="59">
        <f>J165</f>
        <v>0.58619851904879117</v>
      </c>
      <c r="N132" s="163"/>
      <c r="P132" s="47"/>
    </row>
    <row r="133" spans="2:16" hidden="1" x14ac:dyDescent="0.2">
      <c r="B133" s="173"/>
      <c r="C133" s="2"/>
      <c r="D133" s="2"/>
      <c r="E133" s="2"/>
      <c r="F133" s="2"/>
      <c r="G133" s="46"/>
      <c r="H133" s="46">
        <f>INDEX($C$79:$E$99,MATCH(G132,$C$79:$C$99,1)+1,1)</f>
        <v>0.90000000000000024</v>
      </c>
      <c r="I133" s="53">
        <f>INDEX($C$79:$E$99,MATCH(G132,$C$79:$C$99,1)+1,3)</f>
        <v>0.91</v>
      </c>
      <c r="J133" s="55"/>
      <c r="K133" s="54"/>
      <c r="L133" s="58">
        <f>'Valutazione Potenziale'!H37</f>
        <v>0.32887407440549438</v>
      </c>
      <c r="M133" s="59">
        <f>J168</f>
        <v>0.42772958099371389</v>
      </c>
      <c r="N133" s="163"/>
      <c r="P133" s="47"/>
    </row>
    <row r="134" spans="2:16" hidden="1" x14ac:dyDescent="0.2">
      <c r="B134" s="173"/>
      <c r="C134" s="2"/>
      <c r="D134" s="2"/>
      <c r="E134" s="2"/>
      <c r="F134" s="2"/>
      <c r="G134" s="46"/>
      <c r="H134" s="46"/>
      <c r="I134" s="53"/>
      <c r="J134" s="55"/>
      <c r="K134" s="54"/>
      <c r="L134" s="58">
        <f>'Valutazione Potenziale'!H38</f>
        <v>0.24386479049685694</v>
      </c>
      <c r="M134" s="59">
        <f>J171</f>
        <v>0.21974005055815313</v>
      </c>
      <c r="N134" s="163"/>
      <c r="P134" s="47"/>
    </row>
    <row r="135" spans="2:16" hidden="1" x14ac:dyDescent="0.2">
      <c r="B135" s="173"/>
      <c r="C135" s="2"/>
      <c r="D135" s="2"/>
      <c r="E135" s="2"/>
      <c r="F135" s="2"/>
      <c r="G135" s="46">
        <f>'Valutazione Potenziale'!H27</f>
        <v>0.82103308650813189</v>
      </c>
      <c r="H135" s="46">
        <f>INDEX($C$79:$E$99,MATCH(G135,$C$79:$C$99,1),1)</f>
        <v>0.80000000000000016</v>
      </c>
      <c r="I135" s="53">
        <f>INDEX($C$79:$E$99,MATCH(G135,$C$79:$C$99,1),3)</f>
        <v>0.92</v>
      </c>
      <c r="J135" s="55">
        <f t="shared" si="4"/>
        <v>0.92</v>
      </c>
      <c r="K135" s="2"/>
      <c r="L135" s="58">
        <f>'Valutazione Potenziale'!H39</f>
        <v>0.14990716091362613</v>
      </c>
      <c r="M135" s="59">
        <f>J174</f>
        <v>9.4463211113845452E-2</v>
      </c>
      <c r="N135" s="163"/>
    </row>
    <row r="136" spans="2:16" ht="17" hidden="1" thickBot="1" x14ac:dyDescent="0.25">
      <c r="B136" s="173"/>
      <c r="C136" s="2"/>
      <c r="D136" s="2"/>
      <c r="E136" s="2"/>
      <c r="F136" s="2"/>
      <c r="G136" s="46"/>
      <c r="H136" s="46">
        <f>INDEX($C$79:$E$99,MATCH(G135,$C$79:$C$99,1)+1,1)</f>
        <v>0.8500000000000002</v>
      </c>
      <c r="I136" s="53">
        <f>INDEX($C$79:$E$99,MATCH(G135,$C$79:$C$99,1)+1,3)</f>
        <v>0.92</v>
      </c>
      <c r="J136" s="55"/>
      <c r="K136" s="54"/>
      <c r="L136" s="60">
        <f>'Valutazione Potenziale'!H40</f>
        <v>0.10516543254065909</v>
      </c>
      <c r="M136" s="61">
        <f>J177</f>
        <v>0</v>
      </c>
      <c r="N136" s="163"/>
    </row>
    <row r="137" spans="2:16" hidden="1" x14ac:dyDescent="0.2">
      <c r="B137" s="173"/>
      <c r="C137" s="2"/>
      <c r="D137" s="2"/>
      <c r="E137" s="2"/>
      <c r="F137" s="2"/>
      <c r="G137" s="46"/>
      <c r="H137" s="46"/>
      <c r="I137" s="53"/>
      <c r="J137" s="55"/>
      <c r="K137" s="54"/>
      <c r="L137" s="2"/>
      <c r="M137" s="2"/>
      <c r="N137" s="163"/>
    </row>
    <row r="138" spans="2:16" hidden="1" x14ac:dyDescent="0.2">
      <c r="B138" s="173"/>
      <c r="C138" s="2"/>
      <c r="D138" s="2"/>
      <c r="E138" s="2"/>
      <c r="F138" s="2"/>
      <c r="G138" s="46">
        <f>'Valutazione Potenziale'!H28</f>
        <v>0.77629135813516481</v>
      </c>
      <c r="H138" s="46">
        <f>INDEX($C$79:$E$99,MATCH(G138,$C$79:$C$99,1),1)</f>
        <v>0.75000000000000011</v>
      </c>
      <c r="I138" s="53">
        <f>INDEX($C$79:$E$99,MATCH(G138,$C$79:$C$99,1),3)</f>
        <v>0.92</v>
      </c>
      <c r="J138" s="55">
        <f t="shared" si="4"/>
        <v>0.92</v>
      </c>
      <c r="K138" s="2"/>
      <c r="L138" s="2"/>
      <c r="M138" s="2"/>
      <c r="N138" s="163"/>
    </row>
    <row r="139" spans="2:16" hidden="1" x14ac:dyDescent="0.2">
      <c r="B139" s="173"/>
      <c r="C139" s="2"/>
      <c r="D139" s="2"/>
      <c r="E139" s="2"/>
      <c r="F139" s="2"/>
      <c r="G139" s="46"/>
      <c r="H139" s="46">
        <f>INDEX($C$79:$E$99,MATCH(G138,$C$79:$C$99,1)+1,1)</f>
        <v>0.80000000000000016</v>
      </c>
      <c r="I139" s="53">
        <f>INDEX($C$79:$E$99,MATCH(G138,$C$79:$C$99,1)+1,3)</f>
        <v>0.92</v>
      </c>
      <c r="J139" s="55"/>
      <c r="K139" s="54"/>
      <c r="L139" s="2"/>
      <c r="M139" s="2"/>
      <c r="N139" s="163"/>
    </row>
    <row r="140" spans="2:16" hidden="1" x14ac:dyDescent="0.2">
      <c r="B140" s="173"/>
      <c r="C140" s="2"/>
      <c r="D140" s="2"/>
      <c r="E140" s="2"/>
      <c r="F140" s="2"/>
      <c r="G140" s="46"/>
      <c r="H140" s="46"/>
      <c r="I140" s="53"/>
      <c r="J140" s="55"/>
      <c r="K140" s="54"/>
      <c r="L140" s="2"/>
      <c r="M140" s="2"/>
      <c r="N140" s="163"/>
    </row>
    <row r="141" spans="2:16" hidden="1" x14ac:dyDescent="0.2">
      <c r="B141" s="173"/>
      <c r="C141" s="2"/>
      <c r="D141" s="2"/>
      <c r="E141" s="2"/>
      <c r="F141" s="2"/>
      <c r="G141" s="46">
        <f>'Valutazione Potenziale'!H29</f>
        <v>0.72260128408760438</v>
      </c>
      <c r="H141" s="46">
        <f>INDEX($C$79:$E$99,MATCH(G141,$C$79:$C$99,1),1)</f>
        <v>0.70000000000000007</v>
      </c>
      <c r="I141" s="53">
        <f>INDEX($C$79:$E$99,MATCH(G141,$C$79:$C$99,1),3)</f>
        <v>0.91</v>
      </c>
      <c r="J141" s="55">
        <f t="shared" si="4"/>
        <v>0.91452025681752092</v>
      </c>
      <c r="K141" s="2"/>
      <c r="L141" s="2"/>
      <c r="M141" s="2"/>
      <c r="N141" s="163"/>
    </row>
    <row r="142" spans="2:16" hidden="1" x14ac:dyDescent="0.2">
      <c r="B142" s="173"/>
      <c r="C142" s="2"/>
      <c r="D142" s="2"/>
      <c r="E142" s="2"/>
      <c r="F142" s="2"/>
      <c r="G142" s="46"/>
      <c r="H142" s="46">
        <f>INDEX($C$79:$E$99,MATCH(G141,$C$79:$C$99,1)+1,1)</f>
        <v>0.75000000000000011</v>
      </c>
      <c r="I142" s="53">
        <f>INDEX($C$79:$E$99,MATCH(G141,$C$79:$C$99,1)+1,3)</f>
        <v>0.92</v>
      </c>
      <c r="J142" s="55"/>
      <c r="K142" s="54"/>
      <c r="L142" s="2"/>
      <c r="M142" s="2"/>
      <c r="N142" s="163"/>
    </row>
    <row r="143" spans="2:16" hidden="1" x14ac:dyDescent="0.2">
      <c r="B143" s="173"/>
      <c r="C143" s="2"/>
      <c r="D143" s="2"/>
      <c r="E143" s="2"/>
      <c r="F143" s="2"/>
      <c r="G143" s="46"/>
      <c r="H143" s="46"/>
      <c r="I143" s="53"/>
      <c r="J143" s="55"/>
      <c r="K143" s="54"/>
      <c r="L143" s="2"/>
      <c r="M143" s="2"/>
      <c r="N143" s="163"/>
    </row>
    <row r="144" spans="2:16" hidden="1" x14ac:dyDescent="0.2">
      <c r="B144" s="173"/>
      <c r="C144" s="2"/>
      <c r="D144" s="2"/>
      <c r="E144" s="2"/>
      <c r="F144" s="2"/>
      <c r="G144" s="46">
        <f>'Valutazione Potenziale'!H30</f>
        <v>0.6778595557146373</v>
      </c>
      <c r="H144" s="46">
        <f>INDEX($C$79:$E$99,MATCH(G144,$C$79:$C$99,1),1)</f>
        <v>0.65</v>
      </c>
      <c r="I144" s="53">
        <f>INDEX($C$79:$E$99,MATCH(G144,$C$79:$C$99,1),3)</f>
        <v>0.9</v>
      </c>
      <c r="J144" s="55">
        <f t="shared" si="4"/>
        <v>0.90557191114292745</v>
      </c>
      <c r="K144" s="2"/>
      <c r="L144" s="2"/>
      <c r="M144" s="2"/>
      <c r="N144" s="163"/>
    </row>
    <row r="145" spans="2:14" hidden="1" x14ac:dyDescent="0.2">
      <c r="B145" s="173"/>
      <c r="C145" s="2"/>
      <c r="D145" s="2"/>
      <c r="E145" s="2"/>
      <c r="F145" s="2"/>
      <c r="G145" s="46"/>
      <c r="H145" s="46">
        <f>INDEX($C$79:$E$99,MATCH(G144,$C$79:$C$99,1)+1,1)</f>
        <v>0.70000000000000007</v>
      </c>
      <c r="I145" s="53">
        <f>INDEX($C$79:$E$99,MATCH(G144,$C$79:$C$99,1)+1,3)</f>
        <v>0.91</v>
      </c>
      <c r="J145" s="55"/>
      <c r="K145" s="54"/>
      <c r="L145" s="2"/>
      <c r="M145" s="2"/>
      <c r="N145" s="163"/>
    </row>
    <row r="146" spans="2:14" hidden="1" x14ac:dyDescent="0.2">
      <c r="B146" s="173"/>
      <c r="C146" s="2"/>
      <c r="D146" s="2"/>
      <c r="E146" s="2"/>
      <c r="F146" s="2"/>
      <c r="G146" s="46"/>
      <c r="H146" s="46"/>
      <c r="I146" s="53"/>
      <c r="J146" s="55"/>
      <c r="K146" s="54"/>
      <c r="L146" s="2"/>
      <c r="M146" s="2"/>
      <c r="N146" s="163"/>
    </row>
    <row r="147" spans="2:14" hidden="1" x14ac:dyDescent="0.2">
      <c r="B147" s="173"/>
      <c r="C147" s="2"/>
      <c r="D147" s="2"/>
      <c r="E147" s="2"/>
      <c r="F147" s="2"/>
      <c r="G147" s="46">
        <f>'Valutazione Potenziale'!H31</f>
        <v>0.63311782734167033</v>
      </c>
      <c r="H147" s="46">
        <f>INDEX($C$79:$E$99,MATCH(G147,$C$79:$C$99,1),1)</f>
        <v>0.6</v>
      </c>
      <c r="I147" s="53">
        <f>INDEX($C$79:$E$99,MATCH(G147,$C$79:$C$99,1),3)</f>
        <v>0.88</v>
      </c>
      <c r="J147" s="55">
        <f t="shared" si="4"/>
        <v>0.89324713093666808</v>
      </c>
      <c r="K147" s="2"/>
      <c r="L147" s="2"/>
      <c r="M147" s="2"/>
      <c r="N147" s="163"/>
    </row>
    <row r="148" spans="2:14" hidden="1" x14ac:dyDescent="0.2">
      <c r="B148" s="173"/>
      <c r="C148" s="2"/>
      <c r="D148" s="2"/>
      <c r="E148" s="2"/>
      <c r="F148" s="2"/>
      <c r="G148" s="46"/>
      <c r="H148" s="46">
        <f>INDEX($C$79:$E$99,MATCH(G147,$C$79:$C$99,1)+1,1)</f>
        <v>0.65</v>
      </c>
      <c r="I148" s="53">
        <f>INDEX($C$79:$E$99,MATCH(G147,$C$79:$C$99,1)+1,3)</f>
        <v>0.9</v>
      </c>
      <c r="J148" s="55"/>
      <c r="K148" s="54"/>
      <c r="L148" s="2"/>
      <c r="M148" s="2"/>
      <c r="N148" s="163"/>
    </row>
    <row r="149" spans="2:14" hidden="1" x14ac:dyDescent="0.2">
      <c r="B149" s="173"/>
      <c r="C149" s="2"/>
      <c r="D149" s="2"/>
      <c r="E149" s="2"/>
      <c r="F149" s="2"/>
      <c r="G149" s="46"/>
      <c r="H149" s="46"/>
      <c r="I149" s="53"/>
      <c r="J149" s="55"/>
      <c r="K149" s="54"/>
      <c r="L149" s="2"/>
      <c r="M149" s="2"/>
      <c r="N149" s="163"/>
    </row>
    <row r="150" spans="2:14" hidden="1" x14ac:dyDescent="0.2">
      <c r="B150" s="173"/>
      <c r="C150" s="2"/>
      <c r="D150" s="2"/>
      <c r="E150" s="2"/>
      <c r="F150" s="2"/>
      <c r="G150" s="46">
        <f>'Valutazione Potenziale'!H32</f>
        <v>0.58837609896870324</v>
      </c>
      <c r="H150" s="46">
        <f>INDEX($C$79:$E$99,MATCH(G150,$C$79:$C$99,1),1)</f>
        <v>0.54999999999999993</v>
      </c>
      <c r="I150" s="53">
        <f>INDEX($C$79:$E$99,MATCH(G150,$C$79:$C$99,1),3)</f>
        <v>0.85</v>
      </c>
      <c r="J150" s="55">
        <f t="shared" si="4"/>
        <v>0.8730256593812219</v>
      </c>
      <c r="K150" s="2"/>
      <c r="L150" s="2"/>
      <c r="M150" s="2"/>
      <c r="N150" s="163"/>
    </row>
    <row r="151" spans="2:14" hidden="1" x14ac:dyDescent="0.2">
      <c r="B151" s="173"/>
      <c r="C151" s="2"/>
      <c r="D151" s="2"/>
      <c r="E151" s="2"/>
      <c r="F151" s="2"/>
      <c r="G151" s="46"/>
      <c r="H151" s="46">
        <f>INDEX($C$79:$E$99,MATCH(G150,$C$79:$C$99,1)+1,1)</f>
        <v>0.6</v>
      </c>
      <c r="I151" s="53">
        <f>INDEX($C$79:$E$99,MATCH(G150,$C$79:$C$99,1)+1,3)</f>
        <v>0.88</v>
      </c>
      <c r="J151" s="55"/>
      <c r="K151" s="54"/>
      <c r="L151" s="2"/>
      <c r="M151" s="2"/>
      <c r="N151" s="163"/>
    </row>
    <row r="152" spans="2:14" hidden="1" x14ac:dyDescent="0.2">
      <c r="B152" s="173"/>
      <c r="C152" s="2"/>
      <c r="D152" s="2"/>
      <c r="E152" s="2"/>
      <c r="F152" s="2"/>
      <c r="G152" s="46"/>
      <c r="H152" s="46"/>
      <c r="I152" s="53"/>
      <c r="J152" s="55"/>
      <c r="K152" s="54"/>
      <c r="L152" s="2"/>
      <c r="M152" s="2"/>
      <c r="N152" s="163"/>
    </row>
    <row r="153" spans="2:14" hidden="1" x14ac:dyDescent="0.2">
      <c r="B153" s="173"/>
      <c r="C153" s="2"/>
      <c r="D153" s="2"/>
      <c r="E153" s="2"/>
      <c r="F153" s="2"/>
      <c r="G153" s="46">
        <f>'Valutazione Potenziale'!H33</f>
        <v>0.5391601977584396</v>
      </c>
      <c r="H153" s="46">
        <f>INDEX($C$79:$E$99,MATCH(G153,$C$79:$C$99,1),1)</f>
        <v>0.49999999999999994</v>
      </c>
      <c r="I153" s="53">
        <f>INDEX($C$79:$E$99,MATCH(G153,$C$79:$C$99,1),3)</f>
        <v>0.81</v>
      </c>
      <c r="J153" s="55">
        <f t="shared" si="4"/>
        <v>0.84132815820675177</v>
      </c>
      <c r="K153" s="2"/>
      <c r="L153" s="2"/>
      <c r="M153" s="2"/>
      <c r="N153" s="163"/>
    </row>
    <row r="154" spans="2:14" hidden="1" x14ac:dyDescent="0.2">
      <c r="B154" s="173"/>
      <c r="C154" s="2"/>
      <c r="D154" s="2"/>
      <c r="E154" s="2"/>
      <c r="F154" s="2"/>
      <c r="G154" s="46"/>
      <c r="H154" s="46">
        <f>INDEX($C$79:$E$99,MATCH(G153,$C$79:$C$99,1)+1,1)</f>
        <v>0.54999999999999993</v>
      </c>
      <c r="I154" s="53">
        <f>INDEX($C$79:$E$99,MATCH(G153,$C$79:$C$99,1)+1,3)</f>
        <v>0.85</v>
      </c>
      <c r="J154" s="55"/>
      <c r="K154" s="54"/>
      <c r="L154" s="2"/>
      <c r="M154" s="2"/>
      <c r="N154" s="163"/>
    </row>
    <row r="155" spans="2:14" hidden="1" x14ac:dyDescent="0.2">
      <c r="B155" s="173"/>
      <c r="C155" s="2"/>
      <c r="D155" s="2"/>
      <c r="E155" s="2"/>
      <c r="F155" s="2"/>
      <c r="G155" s="46"/>
      <c r="H155" s="46"/>
      <c r="I155" s="53"/>
      <c r="J155" s="55"/>
      <c r="K155" s="54"/>
      <c r="L155" s="2"/>
      <c r="M155" s="2"/>
      <c r="N155" s="163"/>
    </row>
    <row r="156" spans="2:14" hidden="1" x14ac:dyDescent="0.2">
      <c r="B156" s="173"/>
      <c r="C156" s="2"/>
      <c r="D156" s="2"/>
      <c r="E156" s="2"/>
      <c r="F156" s="2"/>
      <c r="G156" s="46">
        <f>'Valutazione Potenziale'!H34</f>
        <v>0.48994429654817573</v>
      </c>
      <c r="H156" s="46">
        <f>INDEX($C$79:$E$99,MATCH(G156,$C$79:$C$99,1),1)</f>
        <v>0.44999999999999996</v>
      </c>
      <c r="I156" s="53">
        <f>INDEX($C$79:$E$99,MATCH(G156,$C$79:$C$99,1),3)</f>
        <v>0.76</v>
      </c>
      <c r="J156" s="55">
        <f t="shared" si="4"/>
        <v>0.79994429654817578</v>
      </c>
      <c r="K156" s="2"/>
      <c r="L156" s="2"/>
      <c r="M156" s="2"/>
      <c r="N156" s="163"/>
    </row>
    <row r="157" spans="2:14" hidden="1" x14ac:dyDescent="0.2">
      <c r="B157" s="173"/>
      <c r="C157" s="2"/>
      <c r="D157" s="2"/>
      <c r="E157" s="2"/>
      <c r="F157" s="2"/>
      <c r="G157" s="46"/>
      <c r="H157" s="46">
        <f>INDEX($C$79:$E$99,MATCH(G156,$C$79:$C$99,1)+1,1)</f>
        <v>0.49999999999999994</v>
      </c>
      <c r="I157" s="53">
        <f>INDEX($C$79:$E$99,MATCH(G156,$C$79:$C$99,1)+1,3)</f>
        <v>0.81</v>
      </c>
      <c r="J157" s="55"/>
      <c r="K157" s="54"/>
      <c r="L157" s="2"/>
      <c r="M157" s="2"/>
      <c r="N157" s="163"/>
    </row>
    <row r="158" spans="2:14" hidden="1" x14ac:dyDescent="0.2">
      <c r="B158" s="173"/>
      <c r="C158" s="2"/>
      <c r="D158" s="2"/>
      <c r="E158" s="2"/>
      <c r="F158" s="2"/>
      <c r="G158" s="46"/>
      <c r="H158" s="46"/>
      <c r="I158" s="53"/>
      <c r="J158" s="55"/>
      <c r="K158" s="54"/>
      <c r="L158" s="2"/>
      <c r="M158" s="2"/>
      <c r="N158" s="163"/>
    </row>
    <row r="159" spans="2:14" hidden="1" x14ac:dyDescent="0.2">
      <c r="B159" s="173"/>
      <c r="C159" s="2"/>
      <c r="D159" s="2"/>
      <c r="E159" s="2"/>
      <c r="F159" s="2"/>
      <c r="G159" s="46">
        <f>'Valutazione Potenziale'!H35</f>
        <v>0.44072839533791192</v>
      </c>
      <c r="H159" s="46">
        <f>INDEX($C$79:$E$99,MATCH(G159,$C$79:$C$99,1),1)</f>
        <v>0.39999999999999997</v>
      </c>
      <c r="I159" s="53">
        <f>INDEX($C$79:$E$99,MATCH(G159,$C$79:$C$99,1),3)</f>
        <v>0.7</v>
      </c>
      <c r="J159" s="55">
        <f t="shared" si="4"/>
        <v>0.74887407440549447</v>
      </c>
      <c r="K159" s="2"/>
      <c r="L159" s="2"/>
      <c r="M159" s="2"/>
      <c r="N159" s="163"/>
    </row>
    <row r="160" spans="2:14" hidden="1" x14ac:dyDescent="0.2">
      <c r="B160" s="173"/>
      <c r="C160" s="2"/>
      <c r="D160" s="2"/>
      <c r="E160" s="2"/>
      <c r="F160" s="2"/>
      <c r="G160" s="46"/>
      <c r="H160" s="46">
        <f>INDEX($C$79:$E$99,MATCH(G159,$C$79:$C$99,1)+1,1)</f>
        <v>0.44999999999999996</v>
      </c>
      <c r="I160" s="53">
        <f>INDEX($C$79:$E$99,MATCH(G159,$C$79:$C$99,1)+1,3)</f>
        <v>0.76</v>
      </c>
      <c r="J160" s="55"/>
      <c r="K160" s="54"/>
      <c r="L160" s="2"/>
      <c r="M160" s="2"/>
      <c r="N160" s="163"/>
    </row>
    <row r="161" spans="2:14" hidden="1" x14ac:dyDescent="0.2">
      <c r="B161" s="173"/>
      <c r="C161" s="2"/>
      <c r="D161" s="2"/>
      <c r="E161" s="2"/>
      <c r="F161" s="2"/>
      <c r="G161" s="46"/>
      <c r="H161" s="46"/>
      <c r="I161" s="53"/>
      <c r="J161" s="55"/>
      <c r="K161" s="54"/>
      <c r="L161" s="2"/>
      <c r="M161" s="2"/>
      <c r="N161" s="163"/>
    </row>
    <row r="162" spans="2:14" hidden="1" x14ac:dyDescent="0.2">
      <c r="B162" s="173"/>
      <c r="C162" s="2"/>
      <c r="D162" s="2"/>
      <c r="E162" s="2"/>
      <c r="F162" s="2"/>
      <c r="G162" s="46">
        <f>'Valutazione Potenziale'!H36</f>
        <v>0.38703832129035154</v>
      </c>
      <c r="H162" s="46">
        <f>INDEX($C$79:$E$99,MATCH(G162,$C$79:$C$99,1),1)</f>
        <v>0.35</v>
      </c>
      <c r="I162" s="53">
        <f>INDEX($C$79:$E$99,MATCH(G162,$C$79:$C$99,1),3)</f>
        <v>0.62</v>
      </c>
      <c r="J162" s="55">
        <f t="shared" si="4"/>
        <v>0.67926131406456236</v>
      </c>
      <c r="K162" s="2"/>
      <c r="L162" s="2"/>
      <c r="M162" s="2"/>
      <c r="N162" s="163"/>
    </row>
    <row r="163" spans="2:14" hidden="1" x14ac:dyDescent="0.2">
      <c r="B163" s="173"/>
      <c r="C163" s="2"/>
      <c r="D163" s="2"/>
      <c r="E163" s="2"/>
      <c r="F163" s="2"/>
      <c r="G163" s="46"/>
      <c r="H163" s="46">
        <f>INDEX($C$79:$E$99,MATCH(G162,$C$79:$C$99,1)+1,1)</f>
        <v>0.39999999999999997</v>
      </c>
      <c r="I163" s="53">
        <f>INDEX($C$79:$E$99,MATCH(G162,$C$79:$C$99,1)+1,3)</f>
        <v>0.7</v>
      </c>
      <c r="J163" s="55"/>
      <c r="K163" s="54"/>
      <c r="L163" s="2"/>
      <c r="M163" s="2"/>
      <c r="N163" s="163"/>
    </row>
    <row r="164" spans="2:14" hidden="1" x14ac:dyDescent="0.2">
      <c r="B164" s="173"/>
      <c r="C164" s="2"/>
      <c r="D164" s="2"/>
      <c r="E164" s="2"/>
      <c r="F164" s="2"/>
      <c r="G164" s="46"/>
      <c r="H164" s="46"/>
      <c r="I164" s="53"/>
      <c r="J164" s="55"/>
      <c r="K164" s="54"/>
      <c r="L164" s="2"/>
      <c r="M164" s="2"/>
      <c r="N164" s="163"/>
    </row>
    <row r="165" spans="2:14" hidden="1" x14ac:dyDescent="0.2">
      <c r="B165" s="173"/>
      <c r="C165" s="2"/>
      <c r="D165" s="2"/>
      <c r="E165" s="2"/>
      <c r="F165" s="2"/>
      <c r="G165" s="46">
        <f>'Valutazione Potenziale'!H37</f>
        <v>0.32887407440549438</v>
      </c>
      <c r="H165" s="46">
        <f>INDEX($C$79:$E$99,MATCH(G165,$C$79:$C$99,1),1)</f>
        <v>0.3</v>
      </c>
      <c r="I165" s="53">
        <f>INDEX($C$79:$E$99,MATCH(G165,$C$79:$C$99,1),3)</f>
        <v>0.54</v>
      </c>
      <c r="J165" s="55">
        <f t="shared" si="4"/>
        <v>0.58619851904879117</v>
      </c>
      <c r="K165" s="2"/>
      <c r="L165" s="2"/>
      <c r="M165" s="2"/>
      <c r="N165" s="163"/>
    </row>
    <row r="166" spans="2:14" hidden="1" x14ac:dyDescent="0.2">
      <c r="B166" s="173"/>
      <c r="C166" s="2"/>
      <c r="D166" s="2"/>
      <c r="E166" s="2"/>
      <c r="F166" s="2"/>
      <c r="G166" s="46"/>
      <c r="H166" s="46">
        <f>INDEX($C$79:$E$99,MATCH(G165,$C$79:$C$99,1)+1,1)</f>
        <v>0.35</v>
      </c>
      <c r="I166" s="53">
        <f>INDEX($C$79:$E$99,MATCH(G165,$C$79:$C$99,1)+1,3)</f>
        <v>0.62</v>
      </c>
      <c r="J166" s="55"/>
      <c r="K166" s="54"/>
      <c r="L166" s="2"/>
      <c r="M166" s="2"/>
      <c r="N166" s="163"/>
    </row>
    <row r="167" spans="2:14" hidden="1" x14ac:dyDescent="0.2">
      <c r="B167" s="173"/>
      <c r="C167" s="2"/>
      <c r="D167" s="2"/>
      <c r="E167" s="2"/>
      <c r="F167" s="2"/>
      <c r="G167" s="46"/>
      <c r="H167" s="46"/>
      <c r="I167" s="53"/>
      <c r="J167" s="55"/>
      <c r="K167" s="54"/>
      <c r="L167" s="2"/>
      <c r="M167" s="2"/>
      <c r="N167" s="163"/>
    </row>
    <row r="168" spans="2:14" hidden="1" x14ac:dyDescent="0.2">
      <c r="B168" s="173"/>
      <c r="C168" s="2"/>
      <c r="D168" s="2"/>
      <c r="E168" s="2"/>
      <c r="F168" s="2"/>
      <c r="G168" s="46">
        <f>'Valutazione Potenziale'!H38</f>
        <v>0.24386479049685694</v>
      </c>
      <c r="H168" s="46">
        <f>INDEX($C$79:$E$99,MATCH(G168,$C$79:$C$99,1),1)</f>
        <v>0.2</v>
      </c>
      <c r="I168" s="53">
        <f>INDEX($C$79:$E$99,MATCH(G168,$C$79:$C$99,1),3)</f>
        <v>0.34</v>
      </c>
      <c r="J168" s="55">
        <f t="shared" si="4"/>
        <v>0.42772958099371389</v>
      </c>
      <c r="K168" s="2"/>
      <c r="L168" s="2"/>
      <c r="M168" s="2"/>
      <c r="N168" s="163"/>
    </row>
    <row r="169" spans="2:14" hidden="1" x14ac:dyDescent="0.2">
      <c r="B169" s="173"/>
      <c r="C169" s="2"/>
      <c r="D169" s="2"/>
      <c r="E169" s="2"/>
      <c r="F169" s="2"/>
      <c r="G169" s="46"/>
      <c r="H169" s="46">
        <f>INDEX($C$79:$E$99,MATCH(G168,$C$79:$C$99,1)+1,1)</f>
        <v>0.25</v>
      </c>
      <c r="I169" s="53">
        <f>INDEX($C$79:$E$99,MATCH(G168,$C$79:$C$99,1)+1,3)</f>
        <v>0.44</v>
      </c>
      <c r="J169" s="55"/>
      <c r="K169" s="54"/>
      <c r="L169" s="2"/>
      <c r="M169" s="2"/>
      <c r="N169" s="163"/>
    </row>
    <row r="170" spans="2:14" hidden="1" x14ac:dyDescent="0.2">
      <c r="B170" s="173"/>
      <c r="C170" s="2"/>
      <c r="D170" s="2"/>
      <c r="E170" s="2"/>
      <c r="F170" s="2"/>
      <c r="G170" s="46"/>
      <c r="H170" s="46"/>
      <c r="I170" s="53"/>
      <c r="J170" s="55"/>
      <c r="K170" s="54"/>
      <c r="L170" s="2"/>
      <c r="M170" s="2"/>
      <c r="N170" s="163"/>
    </row>
    <row r="171" spans="2:14" hidden="1" x14ac:dyDescent="0.2">
      <c r="B171" s="173"/>
      <c r="C171" s="2"/>
      <c r="D171" s="2"/>
      <c r="E171" s="2"/>
      <c r="F171" s="2"/>
      <c r="G171" s="46">
        <f>'Valutazione Potenziale'!H39</f>
        <v>0.14990716091362613</v>
      </c>
      <c r="H171" s="46">
        <f>INDEX($C$79:$E$99,MATCH(G171,$C$79:$C$99,1),1)</f>
        <v>0.1</v>
      </c>
      <c r="I171" s="53">
        <f>INDEX($C$79:$E$99,MATCH(G171,$C$79:$C$99,1),3)</f>
        <v>0.08</v>
      </c>
      <c r="J171" s="55">
        <f t="shared" si="4"/>
        <v>0.21974005055815313</v>
      </c>
      <c r="K171" s="2"/>
      <c r="L171" s="2"/>
      <c r="M171" s="2"/>
      <c r="N171" s="163"/>
    </row>
    <row r="172" spans="2:14" hidden="1" x14ac:dyDescent="0.2">
      <c r="B172" s="173"/>
      <c r="C172" s="2"/>
      <c r="D172" s="2"/>
      <c r="E172" s="2"/>
      <c r="F172" s="2"/>
      <c r="G172" s="46"/>
      <c r="H172" s="46">
        <f>INDEX($C$79:$E$99,MATCH(G171,$C$79:$C$99,1)+1,1)</f>
        <v>0.15000000000000002</v>
      </c>
      <c r="I172" s="53">
        <f>INDEX($C$79:$E$99,MATCH(G171,$C$79:$C$99,1)+1,3)</f>
        <v>0.22</v>
      </c>
      <c r="J172" s="55"/>
      <c r="K172" s="54"/>
      <c r="L172" s="2"/>
      <c r="M172" s="2"/>
      <c r="N172" s="163"/>
    </row>
    <row r="173" spans="2:14" hidden="1" x14ac:dyDescent="0.2">
      <c r="B173" s="173"/>
      <c r="C173" s="2"/>
      <c r="D173" s="2"/>
      <c r="E173" s="2"/>
      <c r="F173" s="2"/>
      <c r="G173" s="46"/>
      <c r="H173" s="46"/>
      <c r="I173" s="53"/>
      <c r="J173" s="55"/>
      <c r="K173" s="54"/>
      <c r="L173" s="2"/>
      <c r="M173" s="2"/>
      <c r="N173" s="163"/>
    </row>
    <row r="174" spans="2:14" hidden="1" x14ac:dyDescent="0.2">
      <c r="B174" s="173"/>
      <c r="C174" s="2"/>
      <c r="D174" s="2"/>
      <c r="E174" s="2"/>
      <c r="F174" s="2"/>
      <c r="G174" s="46">
        <f>'Valutazione Potenziale'!H40</f>
        <v>0.10516543254065909</v>
      </c>
      <c r="H174" s="46">
        <f>INDEX($C$79:$E$99,MATCH(G174,$C$79:$C$99,1),1)</f>
        <v>0.1</v>
      </c>
      <c r="I174" s="53">
        <f>INDEX($C$79:$E$99,MATCH(G174,$C$79:$C$99,1),3)</f>
        <v>0.08</v>
      </c>
      <c r="J174" s="55">
        <f>TREND(I174:I175,H174:H175,G174)</f>
        <v>9.4463211113845452E-2</v>
      </c>
      <c r="K174" s="2"/>
      <c r="L174" s="2"/>
      <c r="M174" s="2"/>
      <c r="N174" s="163"/>
    </row>
    <row r="175" spans="2:14" hidden="1" x14ac:dyDescent="0.2">
      <c r="B175" s="173"/>
      <c r="C175" s="2"/>
      <c r="D175" s="2"/>
      <c r="E175" s="2"/>
      <c r="F175" s="2"/>
      <c r="G175" s="46"/>
      <c r="H175" s="46">
        <f>INDEX($C$79:$E$99,MATCH(G174,$C$79:$C$99,1)+1,1)</f>
        <v>0.15000000000000002</v>
      </c>
      <c r="I175" s="53">
        <f>INDEX($C$79:$E$99,MATCH(G174,$C$79:$C$99,1)+1,3)</f>
        <v>0.22</v>
      </c>
      <c r="J175" s="55"/>
      <c r="K175" s="54"/>
      <c r="L175" s="2"/>
      <c r="M175" s="2"/>
      <c r="N175" s="163"/>
    </row>
    <row r="176" spans="2:14" hidden="1" x14ac:dyDescent="0.2">
      <c r="B176" s="173"/>
      <c r="C176" s="2"/>
      <c r="D176" s="2"/>
      <c r="E176" s="2"/>
      <c r="F176" s="2"/>
      <c r="G176" s="46"/>
      <c r="H176" s="46"/>
      <c r="I176" s="53"/>
      <c r="J176" s="55"/>
      <c r="K176" s="54"/>
      <c r="L176" s="2"/>
      <c r="M176" s="2"/>
      <c r="N176" s="163"/>
    </row>
    <row r="177" spans="2:14" hidden="1" x14ac:dyDescent="0.2">
      <c r="B177" s="173"/>
      <c r="C177" s="2"/>
      <c r="D177" s="2"/>
      <c r="E177" s="2"/>
      <c r="F177" s="2"/>
      <c r="G177" s="46">
        <f>'Valutazione Potenziale'!H41</f>
        <v>0</v>
      </c>
      <c r="H177" s="46">
        <f>INDEX($C$79:$E$99,MATCH(G177,$C$79:$C$99,1),1)</f>
        <v>0</v>
      </c>
      <c r="I177" s="53">
        <f>INDEX($C$79:$E$99,MATCH(G177,$C$79:$C$99,1),3)</f>
        <v>0</v>
      </c>
      <c r="J177" s="55">
        <f t="shared" si="4"/>
        <v>0</v>
      </c>
      <c r="K177" s="2"/>
      <c r="L177" s="2"/>
      <c r="M177" s="2"/>
      <c r="N177" s="163"/>
    </row>
    <row r="178" spans="2:14" hidden="1" x14ac:dyDescent="0.2">
      <c r="B178" s="173"/>
      <c r="C178" s="2"/>
      <c r="D178" s="2"/>
      <c r="E178" s="2"/>
      <c r="F178" s="2"/>
      <c r="G178" s="2"/>
      <c r="H178" s="46">
        <f>INDEX($C$79:$E$99,MATCH(G177,$C$79:$C$99,1)+1,1)</f>
        <v>0.05</v>
      </c>
      <c r="I178" s="53">
        <f>INDEX($C$79:$E$99,MATCH(G177,$C$79:$C$99,1)+1,3)</f>
        <v>0</v>
      </c>
      <c r="J178" s="55"/>
      <c r="K178" s="2"/>
      <c r="L178" s="2"/>
      <c r="M178" s="2"/>
      <c r="N178" s="163"/>
    </row>
    <row r="179" spans="2:14" x14ac:dyDescent="0.2">
      <c r="B179" s="168"/>
      <c r="C179" s="169"/>
      <c r="D179" s="169"/>
      <c r="E179" s="169"/>
      <c r="F179" s="169"/>
      <c r="G179" s="169"/>
      <c r="H179" s="169"/>
      <c r="I179" s="169"/>
      <c r="J179" s="169"/>
      <c r="K179" s="169"/>
      <c r="L179" s="169"/>
      <c r="M179" s="169"/>
      <c r="N179" s="45"/>
    </row>
    <row r="180" spans="2:14" x14ac:dyDescent="0.2"/>
  </sheetData>
  <sheetProtection password="CA6D" sheet="1" objects="1" scenarios="1" selectLockedCells="1"/>
  <mergeCells count="1">
    <mergeCell ref="J78:K78"/>
  </mergeCells>
  <dataValidations count="1">
    <dataValidation type="list" allowBlank="1" showInputMessage="1" showErrorMessage="1" sqref="J78">
      <formula1>$D$55:$H$55</formula1>
    </dataValidation>
  </dataValidations>
  <pageMargins left="0.7" right="0.7" top="0.75" bottom="0.75" header="0.3" footer="0.3"/>
  <pageSetup paperSize="9" orientation="portrait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 enableFormatConditionsCalculation="0"/>
  <dimension ref="A1:U62"/>
  <sheetViews>
    <sheetView showGridLines="0" showRowColHeaders="0" workbookViewId="0">
      <selection activeCell="G7" sqref="G7"/>
    </sheetView>
  </sheetViews>
  <sheetFormatPr baseColWidth="10" defaultColWidth="0" defaultRowHeight="16" zeroHeight="1" x14ac:dyDescent="0.2"/>
  <cols>
    <col min="1" max="1" width="3.33203125" style="174" customWidth="1"/>
    <col min="2" max="2" width="3.33203125" customWidth="1"/>
    <col min="3" max="8" width="10.83203125" customWidth="1"/>
    <col min="9" max="9" width="10.83203125" style="174" customWidth="1"/>
    <col min="10" max="19" width="10.83203125" customWidth="1"/>
    <col min="20" max="20" width="3.33203125" style="174" customWidth="1"/>
    <col min="21" max="21" width="3.33203125" customWidth="1"/>
    <col min="22" max="16384" width="10.83203125" hidden="1"/>
  </cols>
  <sheetData>
    <row r="1" spans="2:20" s="174" customFormat="1" x14ac:dyDescent="0.2"/>
    <row r="2" spans="2:20" ht="14" customHeight="1" thickBot="1" x14ac:dyDescent="0.25">
      <c r="B2" s="162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79"/>
    </row>
    <row r="3" spans="2:20" ht="32" thickBot="1" x14ac:dyDescent="0.4">
      <c r="B3" s="173"/>
      <c r="C3" s="2"/>
      <c r="D3" s="2"/>
      <c r="H3" s="278" t="s">
        <v>69</v>
      </c>
      <c r="I3" s="279"/>
      <c r="J3" s="279"/>
      <c r="K3" s="279"/>
      <c r="L3" s="279"/>
      <c r="M3" s="280"/>
      <c r="O3" s="2"/>
      <c r="P3" s="2"/>
      <c r="Q3" s="2"/>
      <c r="R3" s="2"/>
      <c r="S3" s="2"/>
      <c r="T3" s="163"/>
    </row>
    <row r="4" spans="2:20" x14ac:dyDescent="0.2">
      <c r="B4" s="173"/>
      <c r="C4" s="2"/>
      <c r="D4" s="2"/>
      <c r="E4" s="2"/>
      <c r="F4" s="2"/>
      <c r="G4" s="2"/>
      <c r="H4" s="2"/>
      <c r="I4" s="259"/>
      <c r="J4" s="2"/>
      <c r="K4" s="2"/>
      <c r="L4" s="2"/>
      <c r="M4" s="2"/>
      <c r="N4" s="2"/>
      <c r="O4" s="2"/>
      <c r="P4" s="2"/>
      <c r="Q4" s="2"/>
      <c r="R4" s="2"/>
      <c r="S4" s="2"/>
      <c r="T4" s="163"/>
    </row>
    <row r="5" spans="2:20" ht="18" x14ac:dyDescent="0.25">
      <c r="B5" s="173"/>
      <c r="C5" s="282" t="s">
        <v>73</v>
      </c>
      <c r="D5" s="282"/>
      <c r="E5" s="282"/>
      <c r="F5" s="282"/>
      <c r="G5" s="37">
        <f>'Scelta della turbina'!G103</f>
        <v>0.88</v>
      </c>
      <c r="H5" s="2"/>
      <c r="I5" s="259"/>
      <c r="J5" s="2"/>
      <c r="K5" s="2"/>
      <c r="L5" s="241"/>
      <c r="M5" s="241"/>
      <c r="N5" s="241"/>
      <c r="O5" s="241"/>
      <c r="P5" s="241"/>
      <c r="Q5" s="241"/>
      <c r="R5" s="241"/>
      <c r="S5" s="2"/>
      <c r="T5" s="163"/>
    </row>
    <row r="6" spans="2:20" ht="18" x14ac:dyDescent="0.25">
      <c r="B6" s="173"/>
      <c r="C6" s="282" t="s">
        <v>94</v>
      </c>
      <c r="D6" s="282"/>
      <c r="E6" s="282"/>
      <c r="F6" s="282"/>
      <c r="G6" s="37">
        <f>'Scelta della turbina'!G105</f>
        <v>0.88427619068924634</v>
      </c>
      <c r="H6" s="2"/>
      <c r="I6" s="259"/>
      <c r="J6" s="2"/>
      <c r="K6" s="2"/>
      <c r="L6" s="241"/>
      <c r="M6" s="199"/>
      <c r="N6" s="199"/>
      <c r="O6" s="199"/>
      <c r="P6" s="199"/>
      <c r="Q6" s="241"/>
      <c r="R6" s="241"/>
      <c r="S6" s="2"/>
      <c r="T6" s="163"/>
    </row>
    <row r="7" spans="2:20" ht="18" x14ac:dyDescent="0.25">
      <c r="B7" s="173"/>
      <c r="C7" s="282" t="s">
        <v>252</v>
      </c>
      <c r="D7" s="282"/>
      <c r="E7" s="282"/>
      <c r="F7" s="282"/>
      <c r="G7" s="212">
        <v>0.97</v>
      </c>
      <c r="H7" s="2"/>
      <c r="I7" s="259"/>
      <c r="J7" s="2"/>
      <c r="K7" s="2"/>
      <c r="L7" s="241"/>
      <c r="M7" s="199"/>
      <c r="N7" s="199" t="s">
        <v>14</v>
      </c>
      <c r="O7" s="199">
        <f>(365*24)</f>
        <v>8760</v>
      </c>
      <c r="P7" s="199"/>
      <c r="Q7" s="241"/>
      <c r="R7" s="241"/>
      <c r="S7" s="2"/>
      <c r="T7" s="163"/>
    </row>
    <row r="8" spans="2:20" ht="18" x14ac:dyDescent="0.25">
      <c r="B8" s="173"/>
      <c r="C8" s="282" t="s">
        <v>253</v>
      </c>
      <c r="D8" s="282"/>
      <c r="E8" s="282"/>
      <c r="F8" s="282"/>
      <c r="G8" s="212">
        <v>0.98</v>
      </c>
      <c r="H8" s="2"/>
      <c r="I8" s="259"/>
      <c r="J8" s="2"/>
      <c r="K8" s="2"/>
      <c r="L8" s="241"/>
      <c r="M8" s="199"/>
      <c r="N8" s="199" t="s">
        <v>15</v>
      </c>
      <c r="O8" s="199">
        <v>20</v>
      </c>
      <c r="P8" s="199"/>
      <c r="Q8" s="241"/>
      <c r="R8" s="241"/>
      <c r="S8" s="2"/>
      <c r="T8" s="163"/>
    </row>
    <row r="9" spans="2:20" ht="18" x14ac:dyDescent="0.25">
      <c r="B9" s="173"/>
      <c r="C9" s="282" t="s">
        <v>254</v>
      </c>
      <c r="D9" s="282"/>
      <c r="E9" s="282"/>
      <c r="F9" s="282"/>
      <c r="G9" s="212">
        <v>1</v>
      </c>
      <c r="H9" s="2"/>
      <c r="I9" s="259"/>
      <c r="J9" s="2"/>
      <c r="K9" s="2"/>
      <c r="L9" s="241"/>
      <c r="M9" s="211"/>
      <c r="N9" s="199" t="s">
        <v>16</v>
      </c>
      <c r="O9" s="199">
        <f>O7/O8</f>
        <v>438</v>
      </c>
      <c r="P9" s="199"/>
      <c r="Q9" s="241"/>
      <c r="R9" s="241"/>
      <c r="S9" s="2"/>
      <c r="T9" s="163"/>
    </row>
    <row r="10" spans="2:20" x14ac:dyDescent="0.2">
      <c r="B10" s="173"/>
      <c r="C10" s="283" t="s">
        <v>255</v>
      </c>
      <c r="D10" s="283"/>
      <c r="E10" s="283"/>
      <c r="F10" s="283"/>
      <c r="G10" s="212">
        <v>0.05</v>
      </c>
      <c r="H10" s="2"/>
      <c r="I10" s="259"/>
      <c r="J10" s="2"/>
      <c r="K10" s="2"/>
      <c r="L10" s="2"/>
      <c r="M10" s="199"/>
      <c r="N10" s="199"/>
      <c r="O10" s="199"/>
      <c r="P10" s="199"/>
      <c r="Q10" s="241"/>
      <c r="R10" s="241"/>
      <c r="S10" s="2"/>
      <c r="T10" s="163"/>
    </row>
    <row r="11" spans="2:20" x14ac:dyDescent="0.2">
      <c r="B11" s="173"/>
      <c r="C11" s="2"/>
      <c r="D11" s="2"/>
      <c r="E11" s="2"/>
      <c r="F11" s="2"/>
      <c r="G11" s="2"/>
      <c r="H11" s="2"/>
      <c r="I11" s="259"/>
      <c r="J11" s="2"/>
      <c r="K11" s="2"/>
      <c r="L11" s="2"/>
      <c r="M11" s="2"/>
      <c r="N11" s="2"/>
      <c r="O11" s="2"/>
      <c r="P11" s="2"/>
      <c r="Q11" s="2"/>
      <c r="R11" s="2"/>
      <c r="S11" s="2"/>
      <c r="T11" s="163"/>
    </row>
    <row r="12" spans="2:20" ht="24" x14ac:dyDescent="0.3">
      <c r="B12" s="173"/>
      <c r="C12" s="281" t="s">
        <v>256</v>
      </c>
      <c r="D12" s="281"/>
      <c r="E12" s="281"/>
      <c r="F12" s="281"/>
      <c r="G12" s="2"/>
      <c r="H12" s="2"/>
      <c r="I12" s="259"/>
      <c r="J12" s="2"/>
      <c r="L12" s="247" t="s">
        <v>257</v>
      </c>
      <c r="M12" s="164"/>
      <c r="N12" s="164"/>
      <c r="O12" s="214"/>
      <c r="P12" s="214"/>
      <c r="Q12" s="214"/>
      <c r="R12" s="2"/>
      <c r="S12" s="2"/>
      <c r="T12" s="163"/>
    </row>
    <row r="13" spans="2:20" ht="17" thickBot="1" x14ac:dyDescent="0.25">
      <c r="B13" s="173"/>
      <c r="C13" s="2"/>
      <c r="D13" s="2"/>
      <c r="E13" s="2"/>
      <c r="F13" s="2"/>
      <c r="G13" s="2"/>
      <c r="H13" s="2"/>
      <c r="I13" s="259"/>
      <c r="J13" s="2"/>
      <c r="K13" s="2"/>
      <c r="L13" s="2"/>
      <c r="M13" s="2"/>
      <c r="N13" s="2"/>
      <c r="O13" s="2"/>
      <c r="P13" s="2"/>
      <c r="Q13" s="2"/>
      <c r="R13" s="2"/>
      <c r="S13" s="2"/>
      <c r="T13" s="163"/>
    </row>
    <row r="14" spans="2:20" ht="22" thickBot="1" x14ac:dyDescent="0.3">
      <c r="B14" s="173"/>
      <c r="C14" s="284" t="s">
        <v>258</v>
      </c>
      <c r="D14" s="285"/>
      <c r="E14" s="285"/>
      <c r="F14" s="286"/>
      <c r="G14" s="69">
        <f>(1/1000)*1000*9.81*'Valutazione risorsa idrica'!K69*'Valutazione del salto'!J26*G5</f>
        <v>1843.3402785752669</v>
      </c>
      <c r="H14" s="48" t="s">
        <v>54</v>
      </c>
      <c r="I14" s="48"/>
      <c r="J14" s="2"/>
      <c r="L14" s="287" t="s">
        <v>236</v>
      </c>
      <c r="M14" s="288"/>
      <c r="N14" s="289"/>
      <c r="O14" s="155">
        <f>365-(365*G10)</f>
        <v>346.75</v>
      </c>
      <c r="P14" s="2" t="s">
        <v>81</v>
      </c>
      <c r="Q14" s="2"/>
      <c r="R14" s="2"/>
      <c r="S14" s="2"/>
      <c r="T14" s="163"/>
    </row>
    <row r="15" spans="2:20" ht="20" thickBot="1" x14ac:dyDescent="0.3">
      <c r="B15" s="173"/>
      <c r="C15" s="48"/>
      <c r="D15" s="48"/>
      <c r="E15" s="48"/>
      <c r="F15" s="48"/>
      <c r="G15" s="215"/>
      <c r="H15" s="48"/>
      <c r="I15" s="48"/>
      <c r="J15" s="2"/>
      <c r="L15" s="2"/>
      <c r="M15" s="2"/>
      <c r="N15" s="2"/>
      <c r="O15" s="2"/>
      <c r="P15" s="2"/>
      <c r="Q15" s="2"/>
      <c r="R15" s="2"/>
      <c r="S15" s="2"/>
      <c r="T15" s="163"/>
    </row>
    <row r="16" spans="2:20" ht="26" thickBot="1" x14ac:dyDescent="0.4">
      <c r="B16" s="173"/>
      <c r="C16" s="284" t="s">
        <v>259</v>
      </c>
      <c r="D16" s="285"/>
      <c r="E16" s="285"/>
      <c r="F16" s="286"/>
      <c r="G16" s="69">
        <f>G14*0.9</f>
        <v>1659.0062507177402</v>
      </c>
      <c r="H16" s="48" t="s">
        <v>54</v>
      </c>
      <c r="I16" s="48"/>
      <c r="J16" s="2"/>
      <c r="L16" s="268" t="s">
        <v>261</v>
      </c>
      <c r="M16" s="269"/>
      <c r="N16" s="269"/>
      <c r="O16" s="269"/>
      <c r="P16" s="270"/>
      <c r="Q16" s="69">
        <f>(1/1000)*(G6*G7*G8*G9)*(1-G10)*((O9/2)*(F21+F41+(2*SUM(F22:F40))))</f>
        <v>7338.1367697102978</v>
      </c>
      <c r="R16" s="216" t="s">
        <v>80</v>
      </c>
      <c r="S16" s="2"/>
      <c r="T16" s="163"/>
    </row>
    <row r="17" spans="2:20" ht="20" thickBot="1" x14ac:dyDescent="0.3">
      <c r="B17" s="173"/>
      <c r="C17" s="48"/>
      <c r="D17" s="48"/>
      <c r="E17" s="48"/>
      <c r="F17" s="48"/>
      <c r="G17" s="215"/>
      <c r="H17" s="48"/>
      <c r="I17" s="48"/>
      <c r="J17" s="2"/>
      <c r="K17" s="2"/>
      <c r="L17" s="2"/>
      <c r="M17" s="2"/>
      <c r="N17" s="2"/>
      <c r="O17" s="2"/>
      <c r="P17" s="2"/>
      <c r="Q17" s="2"/>
      <c r="R17" s="2"/>
      <c r="S17" s="2"/>
      <c r="T17" s="163"/>
    </row>
    <row r="18" spans="2:20" ht="22" thickBot="1" x14ac:dyDescent="0.3">
      <c r="B18" s="173"/>
      <c r="C18" s="284" t="s">
        <v>260</v>
      </c>
      <c r="D18" s="285"/>
      <c r="E18" s="285"/>
      <c r="F18" s="286"/>
      <c r="G18" s="69">
        <f>(1/1000)*1000*9.81*'Valutazione del salto'!H28*'Valutazione risorsa idrica'!E100*G6</f>
        <v>1089.0071681087315</v>
      </c>
      <c r="H18" s="48" t="s">
        <v>54</v>
      </c>
      <c r="I18" s="48"/>
      <c r="J18" s="262"/>
      <c r="K18" s="262"/>
      <c r="L18" s="2"/>
      <c r="M18" s="2"/>
      <c r="N18" s="2"/>
      <c r="O18" s="2"/>
      <c r="P18" s="2"/>
      <c r="Q18" s="2"/>
      <c r="R18" s="2"/>
      <c r="S18" s="2"/>
      <c r="T18" s="163"/>
    </row>
    <row r="19" spans="2:20" x14ac:dyDescent="0.2">
      <c r="B19" s="173"/>
      <c r="C19" s="2"/>
      <c r="D19" s="2"/>
      <c r="E19" s="2"/>
      <c r="F19" s="2"/>
      <c r="G19" s="2"/>
      <c r="H19" s="2"/>
      <c r="I19" s="259"/>
      <c r="J19" s="2"/>
      <c r="K19" s="2"/>
      <c r="L19" s="2"/>
      <c r="M19" s="2"/>
      <c r="N19" s="2"/>
      <c r="O19" s="2"/>
      <c r="P19" s="2"/>
      <c r="Q19" s="2"/>
      <c r="R19" s="2"/>
      <c r="S19" s="2"/>
      <c r="T19" s="163"/>
    </row>
    <row r="20" spans="2:20" ht="18" x14ac:dyDescent="0.25">
      <c r="B20" s="173"/>
      <c r="C20" s="36" t="s">
        <v>2</v>
      </c>
      <c r="D20" s="36" t="s">
        <v>95</v>
      </c>
      <c r="E20" s="36" t="s">
        <v>237</v>
      </c>
      <c r="F20" s="36" t="s">
        <v>238</v>
      </c>
      <c r="G20" s="36" t="s">
        <v>273</v>
      </c>
      <c r="H20" s="36" t="s">
        <v>96</v>
      </c>
      <c r="I20" s="36" t="s">
        <v>97</v>
      </c>
      <c r="K20" s="2"/>
      <c r="L20" s="2"/>
      <c r="M20" s="2"/>
      <c r="N20" s="2"/>
      <c r="O20" s="2"/>
      <c r="P20" s="2"/>
      <c r="Q20" s="2"/>
      <c r="R20" s="2"/>
      <c r="S20" s="2"/>
      <c r="T20" s="163"/>
    </row>
    <row r="21" spans="2:20" x14ac:dyDescent="0.2">
      <c r="B21" s="173"/>
      <c r="C21" s="37">
        <f>'Valutazione risorsa idrica'!C8</f>
        <v>0</v>
      </c>
      <c r="D21" s="36">
        <f>'Valutazione risorsa idrica'!F42</f>
        <v>4.4350499999999995</v>
      </c>
      <c r="E21" s="36">
        <f>'Valutazione risorsa idrica'!E74</f>
        <v>2.2350499999999998</v>
      </c>
      <c r="F21" s="64">
        <f>IF((1/1000*997*9.81*E21*'Valutazione Potenziale'!I21*'Valutazione del salto'!$J$26)&gt;F20,F20,1/1000*997*9.81*E21*'Valutazione Potenziale'!I21*'Valutazione del salto'!$J$26)</f>
        <v>1837.8102577395416</v>
      </c>
      <c r="G21" s="64">
        <f>((F21+F22)/2)*((I21+I22)/2)*$G$7*$G$8*$G$9*$O$9/1000</f>
        <v>673.37232580741852</v>
      </c>
      <c r="H21" s="37">
        <f>E21/'Valutazione risorsa idrica'!$K$69</f>
        <v>1</v>
      </c>
      <c r="I21" s="37">
        <f>'Scelta della turbina'!M117</f>
        <v>0.88000000000000023</v>
      </c>
      <c r="K21" s="2"/>
      <c r="L21" s="2"/>
      <c r="M21" s="2"/>
      <c r="N21" s="2"/>
      <c r="O21" s="2"/>
      <c r="P21" s="2"/>
      <c r="Q21" s="2"/>
      <c r="R21" s="2"/>
      <c r="S21" s="2"/>
      <c r="T21" s="163"/>
    </row>
    <row r="22" spans="2:20" x14ac:dyDescent="0.2">
      <c r="B22" s="173"/>
      <c r="C22" s="37">
        <f>'Valutazione risorsa idrica'!C9</f>
        <v>0.05</v>
      </c>
      <c r="D22" s="36">
        <f>'Valutazione risorsa idrica'!F43</f>
        <v>3.1850499999999999</v>
      </c>
      <c r="E22" s="36">
        <f>'Valutazione risorsa idrica'!E75</f>
        <v>2.2350499999999998</v>
      </c>
      <c r="F22" s="64">
        <f>IF((1/1000*997*9.81*E22*'Valutazione Potenziale'!I22*'Valutazione del salto'!$J$26)&gt;F21,F21,1/1000*997*9.81*E22*'Valutazione Potenziale'!I22*'Valutazione del salto'!$J$26)</f>
        <v>1837.8102577395416</v>
      </c>
      <c r="G22" s="64">
        <f t="shared" ref="G22:G41" si="0">((F22+F23)/2)*((I22+I23)/2)*$G$7*$G$8*$G$9*$O$9/1000</f>
        <v>673.37232580741852</v>
      </c>
      <c r="H22" s="37">
        <f>E22/'Valutazione risorsa idrica'!$K$69</f>
        <v>1</v>
      </c>
      <c r="I22" s="37">
        <f>'Scelta della turbina'!M118</f>
        <v>0.88000000000000023</v>
      </c>
      <c r="K22" s="2"/>
      <c r="L22" s="2"/>
      <c r="M22" s="2"/>
      <c r="N22" s="2"/>
      <c r="O22" s="2"/>
      <c r="P22" s="2"/>
      <c r="Q22" s="2"/>
      <c r="R22" s="2"/>
      <c r="S22" s="2"/>
      <c r="T22" s="163"/>
    </row>
    <row r="23" spans="2:20" x14ac:dyDescent="0.2">
      <c r="B23" s="173"/>
      <c r="C23" s="37">
        <f>'Valutazione risorsa idrica'!C10</f>
        <v>0.1</v>
      </c>
      <c r="D23" s="36">
        <f>'Valutazione risorsa idrica'!F44</f>
        <v>2.5850499999999998</v>
      </c>
      <c r="E23" s="36">
        <f>'Valutazione risorsa idrica'!E76</f>
        <v>2.2350499999999998</v>
      </c>
      <c r="F23" s="64">
        <f>IF((1/1000*997*9.81*E23*'Valutazione Potenziale'!I23*'Valutazione del salto'!$J$26)&gt;F22,F22,1/1000*997*9.81*E23*'Valutazione Potenziale'!I23*'Valutazione del salto'!$J$26)</f>
        <v>1837.8102577395416</v>
      </c>
      <c r="G23" s="64">
        <f t="shared" si="0"/>
        <v>682.33373249299723</v>
      </c>
      <c r="H23" s="37">
        <f>E23/'Valutazione risorsa idrica'!$K$69</f>
        <v>1</v>
      </c>
      <c r="I23" s="37">
        <f>'Scelta della turbina'!M119</f>
        <v>0.88000000000000023</v>
      </c>
      <c r="K23" s="2"/>
      <c r="L23" s="2"/>
      <c r="M23" s="2"/>
      <c r="N23" s="2"/>
      <c r="O23" s="2"/>
      <c r="P23" s="2"/>
      <c r="Q23" s="2"/>
      <c r="R23" s="2"/>
      <c r="S23" s="2"/>
      <c r="T23" s="163"/>
    </row>
    <row r="24" spans="2:20" x14ac:dyDescent="0.2">
      <c r="B24" s="173"/>
      <c r="C24" s="37">
        <f>'Valutazione risorsa idrica'!C11</f>
        <v>0.15</v>
      </c>
      <c r="D24" s="36">
        <f>'Valutazione risorsa idrica'!F45</f>
        <v>2.2350499999999998</v>
      </c>
      <c r="E24" s="36">
        <f>'Valutazione risorsa idrica'!E77</f>
        <v>2.2350499999999998</v>
      </c>
      <c r="F24" s="64">
        <f>IF((1/1000*997*9.81*E24*'Valutazione Potenziale'!I24*'Valutazione del salto'!$J$26)&gt;F23,F23,1/1000*997*9.81*E24*'Valutazione Potenziale'!I24*'Valutazione del salto'!$J$26)</f>
        <v>1837.8102577395416</v>
      </c>
      <c r="G24" s="64">
        <f t="shared" si="0"/>
        <v>684.99332739628414</v>
      </c>
      <c r="H24" s="37">
        <f>E24/'Valutazione risorsa idrica'!$K$69</f>
        <v>1</v>
      </c>
      <c r="I24" s="37">
        <f>'Scelta della turbina'!M120</f>
        <v>0.90342251851189015</v>
      </c>
      <c r="K24" s="2"/>
      <c r="L24" s="2"/>
      <c r="M24" s="2"/>
      <c r="N24" s="2"/>
      <c r="O24" s="2"/>
      <c r="P24" s="2"/>
      <c r="Q24" s="2"/>
      <c r="R24" s="2"/>
      <c r="S24" s="2"/>
      <c r="T24" s="163"/>
    </row>
    <row r="25" spans="2:20" x14ac:dyDescent="0.2">
      <c r="B25" s="173"/>
      <c r="C25" s="37">
        <f>'Valutazione risorsa idrica'!C12</f>
        <v>0.2</v>
      </c>
      <c r="D25" s="36">
        <f>'Valutazione risorsa idrica'!F46</f>
        <v>2.0850499999999998</v>
      </c>
      <c r="E25" s="36">
        <f>'Valutazione risorsa idrica'!E78</f>
        <v>2.0850499999999998</v>
      </c>
      <c r="F25" s="64">
        <f>IF((1/1000*997*9.81*E25*'Valutazione Potenziale'!I25*'Valutazione del salto'!$J$26)&gt;F24,F24,1/1000*997*9.81*E25*'Valutazione Potenziale'!I25*'Valutazione del salto'!$J$26)</f>
        <v>1781.8953815858883</v>
      </c>
      <c r="G25" s="64">
        <f t="shared" si="0"/>
        <v>662.04734618274802</v>
      </c>
      <c r="H25" s="37">
        <f>E25/'Valutazione risorsa idrica'!$K$69</f>
        <v>0.93288740744054943</v>
      </c>
      <c r="I25" s="37">
        <f>'Scelta della turbina'!M121</f>
        <v>0.91460795060513189</v>
      </c>
      <c r="K25" s="2"/>
      <c r="L25" s="2"/>
      <c r="M25" s="2"/>
      <c r="N25" s="2"/>
      <c r="O25" s="2"/>
      <c r="P25" s="2"/>
      <c r="Q25" s="2"/>
      <c r="R25" s="2"/>
      <c r="S25" s="2"/>
      <c r="T25" s="163"/>
    </row>
    <row r="26" spans="2:20" x14ac:dyDescent="0.2">
      <c r="B26" s="173"/>
      <c r="C26" s="37">
        <f>'Valutazione risorsa idrica'!C13</f>
        <v>0.25</v>
      </c>
      <c r="D26" s="36">
        <f>'Valutazione risorsa idrica'!F47</f>
        <v>1.9600500000000001</v>
      </c>
      <c r="E26" s="36">
        <f>'Valutazione risorsa idrica'!E79</f>
        <v>1.9600500000000001</v>
      </c>
      <c r="F26" s="64">
        <f>IF((1/1000*997*9.81*E26*'Valutazione Potenziale'!I26*'Valutazione del salto'!$J$26)&gt;F25,F25,1/1000*997*9.81*E26*'Valutazione Potenziale'!I26*'Valutazione del salto'!$J$26)</f>
        <v>1684.9450164973923</v>
      </c>
      <c r="G26" s="64">
        <f t="shared" si="0"/>
        <v>624.84393592076117</v>
      </c>
      <c r="H26" s="37">
        <f>E26/'Valutazione risorsa idrica'!$K$69</f>
        <v>0.87696024697434072</v>
      </c>
      <c r="I26" s="37">
        <f>'Scelta della turbina'!M122</f>
        <v>0.92</v>
      </c>
      <c r="K26" s="2"/>
      <c r="L26" s="2"/>
      <c r="M26" s="2"/>
      <c r="N26" s="2"/>
      <c r="O26" s="2"/>
      <c r="P26" s="2"/>
      <c r="Q26" s="2"/>
      <c r="R26" s="2"/>
      <c r="S26" s="2"/>
      <c r="T26" s="163"/>
    </row>
    <row r="27" spans="2:20" x14ac:dyDescent="0.2">
      <c r="B27" s="173"/>
      <c r="C27" s="37">
        <f>'Valutazione risorsa idrica'!C14</f>
        <v>0.3</v>
      </c>
      <c r="D27" s="36">
        <f>'Valutazione risorsa idrica'!F48</f>
        <v>1.8350500000000001</v>
      </c>
      <c r="E27" s="36">
        <f>'Valutazione risorsa idrica'!E80</f>
        <v>1.8350500000000001</v>
      </c>
      <c r="F27" s="64">
        <f>IF((1/1000*997*9.81*E27*'Valutazione Potenziale'!I27*'Valutazione del salto'!$J$26)&gt;F26,F26,1/1000*997*9.81*E27*'Valutazione Potenziale'!I27*'Valutazione del salto'!$J$26)</f>
        <v>1577.4895296158463</v>
      </c>
      <c r="G27" s="64">
        <f t="shared" si="0"/>
        <v>584.35185703652121</v>
      </c>
      <c r="H27" s="37">
        <f>E27/'Valutazione risorsa idrica'!$K$69</f>
        <v>0.82103308650813189</v>
      </c>
      <c r="I27" s="37">
        <f>'Scelta della turbina'!M123</f>
        <v>0.92</v>
      </c>
      <c r="K27" s="2"/>
      <c r="L27" s="2"/>
      <c r="M27" s="2"/>
      <c r="N27" s="2"/>
      <c r="O27" s="2"/>
      <c r="P27" s="2"/>
      <c r="Q27" s="2"/>
      <c r="R27" s="2"/>
      <c r="S27" s="2"/>
      <c r="T27" s="163"/>
    </row>
    <row r="28" spans="2:20" x14ac:dyDescent="0.2">
      <c r="B28" s="173"/>
      <c r="C28" s="37">
        <f>'Valutazione risorsa idrica'!C15</f>
        <v>0.35</v>
      </c>
      <c r="D28" s="36">
        <f>'Valutazione risorsa idrica'!F49</f>
        <v>1.73505</v>
      </c>
      <c r="E28" s="36">
        <f>'Valutazione risorsa idrica'!E81</f>
        <v>1.73505</v>
      </c>
      <c r="F28" s="64">
        <f>IF((1/1000*997*9.81*E28*'Valutazione Potenziale'!I28*'Valutazione del salto'!$J$26)&gt;F27,F27,1/1000*997*9.81*E28*'Valutazione Potenziale'!I28*'Valutazione del salto'!$J$26)</f>
        <v>1482.6412545475473</v>
      </c>
      <c r="G28" s="64">
        <f t="shared" si="0"/>
        <v>539.80101505752805</v>
      </c>
      <c r="H28" s="37">
        <f>E28/'Valutazione risorsa idrica'!$K$69</f>
        <v>0.77629135813516481</v>
      </c>
      <c r="I28" s="37">
        <f>'Scelta della turbina'!M124</f>
        <v>0.91452025681752092</v>
      </c>
      <c r="K28" s="2"/>
      <c r="L28" s="2"/>
      <c r="M28" s="2"/>
      <c r="N28" s="2"/>
      <c r="O28" s="2"/>
      <c r="P28" s="2"/>
      <c r="Q28" s="2"/>
      <c r="R28" s="2"/>
      <c r="S28" s="2"/>
      <c r="T28" s="163"/>
    </row>
    <row r="29" spans="2:20" x14ac:dyDescent="0.2">
      <c r="B29" s="173"/>
      <c r="C29" s="37">
        <f>'Valutazione risorsa idrica'!C16</f>
        <v>0.4</v>
      </c>
      <c r="D29" s="36">
        <f>'Valutazione risorsa idrica'!F50</f>
        <v>1.6150500000000001</v>
      </c>
      <c r="E29" s="36">
        <f>'Valutazione risorsa idrica'!E82</f>
        <v>1.6150500000000001</v>
      </c>
      <c r="F29" s="64">
        <f>IF((1/1000*997*9.81*E29*'Valutazione Potenziale'!I29*'Valutazione del salto'!$J$26)&gt;F28,F28,1/1000*997*9.81*E29*'Valutazione Potenziale'!I29*'Valutazione del salto'!$J$26)</f>
        <v>1366.5945085372791</v>
      </c>
      <c r="G29" s="64">
        <f t="shared" si="0"/>
        <v>492.65274679802184</v>
      </c>
      <c r="H29" s="37">
        <f>E29/'Valutazione risorsa idrica'!$K$69</f>
        <v>0.72260128408760438</v>
      </c>
      <c r="I29" s="37">
        <f>'Scelta della turbina'!M125</f>
        <v>0.90557191114292745</v>
      </c>
      <c r="K29" s="2"/>
      <c r="L29" s="2"/>
      <c r="M29" s="2"/>
      <c r="N29" s="2"/>
      <c r="O29" s="2"/>
      <c r="P29" s="2"/>
      <c r="Q29" s="2"/>
      <c r="R29" s="2"/>
      <c r="S29" s="2"/>
      <c r="T29" s="163"/>
    </row>
    <row r="30" spans="2:20" x14ac:dyDescent="0.2">
      <c r="B30" s="173"/>
      <c r="C30" s="37">
        <f>'Valutazione risorsa idrica'!C17</f>
        <v>0.45</v>
      </c>
      <c r="D30" s="36">
        <f>'Valutazione risorsa idrica'!F51</f>
        <v>1.51505</v>
      </c>
      <c r="E30" s="36">
        <f>'Valutazione risorsa idrica'!E83</f>
        <v>1.51505</v>
      </c>
      <c r="F30" s="64">
        <f>IF((1/1000*997*9.81*E30*'Valutazione Potenziale'!I30*'Valutazione del salto'!$J$26)&gt;F29,F29,1/1000*997*9.81*E30*'Valutazione Potenziale'!I30*'Valutazione del salto'!$J$26)</f>
        <v>1264.53062466251</v>
      </c>
      <c r="G30" s="64">
        <f t="shared" si="0"/>
        <v>444.71353360515747</v>
      </c>
      <c r="H30" s="37">
        <f>E30/'Valutazione risorsa idrica'!$K$69</f>
        <v>0.6778595557146373</v>
      </c>
      <c r="I30" s="37">
        <f>'Scelta della turbina'!M126</f>
        <v>0.89324713093666808</v>
      </c>
      <c r="K30" s="2"/>
      <c r="L30" s="2"/>
      <c r="M30" s="2"/>
      <c r="N30" s="2"/>
      <c r="O30" s="2"/>
      <c r="P30" s="2"/>
      <c r="Q30" s="2"/>
      <c r="R30" s="2"/>
      <c r="S30" s="2"/>
      <c r="T30" s="163"/>
    </row>
    <row r="31" spans="2:20" x14ac:dyDescent="0.2">
      <c r="B31" s="173"/>
      <c r="C31" s="37">
        <f>'Valutazione risorsa idrica'!C18</f>
        <v>0.5</v>
      </c>
      <c r="D31" s="36">
        <f>'Valutazione risorsa idrica'!F52</f>
        <v>1.4150500000000001</v>
      </c>
      <c r="E31" s="36">
        <f>'Valutazione risorsa idrica'!E84</f>
        <v>1.4150500000000001</v>
      </c>
      <c r="F31" s="64">
        <f>IF((1/1000*997*9.81*E31*'Valutazione Potenziale'!I31*'Valutazione del salto'!$J$26)&gt;F30,F30,1/1000*997*9.81*E31*'Valutazione Potenziale'!I31*'Valutazione del salto'!$J$26)</f>
        <v>1154.3288498577949</v>
      </c>
      <c r="G31" s="64">
        <f t="shared" si="0"/>
        <v>390.46866399992172</v>
      </c>
      <c r="H31" s="37">
        <f>E31/'Valutazione risorsa idrica'!$K$69</f>
        <v>0.63311782734167033</v>
      </c>
      <c r="I31" s="37">
        <f>'Scelta della turbina'!M127</f>
        <v>0.8730256593812219</v>
      </c>
      <c r="K31" s="2"/>
      <c r="L31" s="2"/>
      <c r="M31" s="2"/>
      <c r="N31" s="2"/>
      <c r="O31" s="2"/>
      <c r="P31" s="2"/>
      <c r="Q31" s="2"/>
      <c r="R31" s="2"/>
      <c r="S31" s="2"/>
      <c r="T31" s="163"/>
    </row>
    <row r="32" spans="2:20" x14ac:dyDescent="0.2">
      <c r="B32" s="173"/>
      <c r="C32" s="37">
        <f>'Valutazione risorsa idrica'!C19</f>
        <v>0.55000000000000004</v>
      </c>
      <c r="D32" s="36">
        <f>'Valutazione risorsa idrica'!F53</f>
        <v>1.3150500000000001</v>
      </c>
      <c r="E32" s="36">
        <f>'Valutazione risorsa idrica'!E85</f>
        <v>1.3150500000000001</v>
      </c>
      <c r="F32" s="64">
        <f>IF((1/1000*997*9.81*E32*'Valutazione Potenziale'!I32*'Valutazione del salto'!$J$26)&gt;F31,F31,1/1000*997*9.81*E32*'Valutazione Potenziale'!I32*'Valutazione del salto'!$J$26)</f>
        <v>1033.8045660590549</v>
      </c>
      <c r="G32" s="64">
        <f t="shared" si="0"/>
        <v>330.49853782859083</v>
      </c>
      <c r="H32" s="37">
        <f>E32/'Valutazione risorsa idrica'!$K$69</f>
        <v>0.58837609896870324</v>
      </c>
      <c r="I32" s="37">
        <f>'Scelta della turbina'!M128</f>
        <v>0.84132815820675177</v>
      </c>
      <c r="K32" s="2"/>
      <c r="L32" s="2"/>
      <c r="M32" s="2"/>
      <c r="N32" s="2"/>
      <c r="O32" s="2"/>
      <c r="P32" s="2"/>
      <c r="Q32" s="2"/>
      <c r="R32" s="2"/>
      <c r="S32" s="2"/>
      <c r="T32" s="163"/>
    </row>
    <row r="33" spans="2:20" x14ac:dyDescent="0.2">
      <c r="B33" s="173"/>
      <c r="C33" s="37">
        <f>'Valutazione risorsa idrica'!C20</f>
        <v>0.6</v>
      </c>
      <c r="D33" s="36">
        <f>'Valutazione risorsa idrica'!F54</f>
        <v>1.2050500000000002</v>
      </c>
      <c r="E33" s="36">
        <f>'Valutazione risorsa idrica'!E86</f>
        <v>1.2050500000000002</v>
      </c>
      <c r="F33" s="64">
        <f>IF((1/1000*997*9.81*E33*'Valutazione Potenziale'!I33*'Valutazione del salto'!$J$26)&gt;F32,F32,1/1000*997*9.81*E33*'Valutazione Potenziale'!I33*'Valutazione del salto'!$J$26)</f>
        <v>900.73195283436212</v>
      </c>
      <c r="G33" s="64">
        <f t="shared" si="0"/>
        <v>268.74766760279522</v>
      </c>
      <c r="H33" s="37">
        <f>E33/'Valutazione risorsa idrica'!$K$69</f>
        <v>0.5391601977584396</v>
      </c>
      <c r="I33" s="37">
        <f>'Scelta della turbina'!M129</f>
        <v>0.79994429654817578</v>
      </c>
      <c r="K33" s="2"/>
      <c r="L33" s="2"/>
      <c r="M33" s="2"/>
      <c r="N33" s="2"/>
      <c r="O33" s="2"/>
      <c r="P33" s="2"/>
      <c r="Q33" s="2"/>
      <c r="R33" s="2"/>
      <c r="S33" s="2"/>
      <c r="T33" s="163"/>
    </row>
    <row r="34" spans="2:20" x14ac:dyDescent="0.2">
      <c r="B34" s="173"/>
      <c r="C34" s="37">
        <f>'Valutazione risorsa idrica'!C21</f>
        <v>0.65</v>
      </c>
      <c r="D34" s="36">
        <f>'Valutazione risorsa idrica'!F55</f>
        <v>1.0950500000000001</v>
      </c>
      <c r="E34" s="36">
        <f>'Valutazione risorsa idrica'!E87</f>
        <v>1.0950500000000001</v>
      </c>
      <c r="F34" s="64">
        <f>IF((1/1000*997*9.81*E34*'Valutazione Potenziale'!I34*'Valutazione del salto'!$J$26)&gt;F33,F33,1/1000*997*9.81*E34*'Valutazione Potenziale'!I34*'Valutazione del salto'!$J$26)</f>
        <v>766.25531735698485</v>
      </c>
      <c r="G34" s="64">
        <f t="shared" si="0"/>
        <v>206.84912795890386</v>
      </c>
      <c r="H34" s="37">
        <f>E34/'Valutazione risorsa idrica'!$K$69</f>
        <v>0.48994429654817573</v>
      </c>
      <c r="I34" s="37">
        <f>'Scelta della turbina'!M130</f>
        <v>0.74887407440549447</v>
      </c>
      <c r="K34" s="2"/>
      <c r="L34" s="2"/>
      <c r="M34" s="2"/>
      <c r="N34" s="2"/>
      <c r="O34" s="2"/>
      <c r="P34" s="2"/>
      <c r="Q34" s="2"/>
      <c r="R34" s="2"/>
      <c r="S34" s="2"/>
      <c r="T34" s="163"/>
    </row>
    <row r="35" spans="2:20" x14ac:dyDescent="0.2">
      <c r="B35" s="173"/>
      <c r="C35" s="37">
        <f>'Valutazione risorsa idrica'!C22</f>
        <v>0.7</v>
      </c>
      <c r="D35" s="36">
        <f>'Valutazione risorsa idrica'!F56</f>
        <v>0.98504999999999998</v>
      </c>
      <c r="E35" s="36">
        <f>'Valutazione risorsa idrica'!E88</f>
        <v>0.98504999999999998</v>
      </c>
      <c r="F35" s="64">
        <f>IF((1/1000*997*9.81*E35*'Valutazione Potenziale'!I35*'Valutazione del salto'!$J$26)&gt;F34,F34,1/1000*997*9.81*E35*'Valutazione Potenziale'!I35*'Valutazione del salto'!$J$26)</f>
        <v>625.20999488720213</v>
      </c>
      <c r="G35" s="64">
        <f t="shared" si="0"/>
        <v>144.76756175914443</v>
      </c>
      <c r="H35" s="37">
        <f>E35/'Valutazione risorsa idrica'!$K$69</f>
        <v>0.44072839533791192</v>
      </c>
      <c r="I35" s="37">
        <f>'Scelta della turbina'!M131</f>
        <v>0.67926131406456236</v>
      </c>
      <c r="K35" s="2"/>
      <c r="L35" s="2"/>
      <c r="M35" s="2"/>
      <c r="N35" s="2"/>
      <c r="O35" s="2"/>
      <c r="P35" s="2"/>
      <c r="Q35" s="2"/>
      <c r="R35" s="2"/>
      <c r="S35" s="2"/>
      <c r="T35" s="163"/>
    </row>
    <row r="36" spans="2:20" x14ac:dyDescent="0.2">
      <c r="B36" s="173"/>
      <c r="C36" s="37">
        <f>'Valutazione risorsa idrica'!C23</f>
        <v>0.75</v>
      </c>
      <c r="D36" s="36">
        <f>'Valutazione risorsa idrica'!F57</f>
        <v>0.8650500000000001</v>
      </c>
      <c r="E36" s="36">
        <f>'Valutazione risorsa idrica'!E89</f>
        <v>0.8650500000000001</v>
      </c>
      <c r="F36" s="64">
        <f>IF((1/1000*997*9.81*E36*'Valutazione Potenziale'!I36*'Valutazione del salto'!$J$26)&gt;F35,F35,1/1000*997*9.81*E36*'Valutazione Potenziale'!I36*'Valutazione del salto'!$J$26)</f>
        <v>473.82359481785028</v>
      </c>
      <c r="G36" s="64">
        <f t="shared" si="0"/>
        <v>81.012877661432114</v>
      </c>
      <c r="H36" s="37">
        <f>E36/'Valutazione risorsa idrica'!$K$69</f>
        <v>0.38703832129035154</v>
      </c>
      <c r="I36" s="37">
        <f>'Scelta della turbina'!M132</f>
        <v>0.58619851904879117</v>
      </c>
      <c r="K36" s="2"/>
      <c r="L36" s="2"/>
      <c r="M36" s="2"/>
      <c r="N36" s="2"/>
      <c r="O36" s="2"/>
      <c r="P36" s="2"/>
      <c r="Q36" s="2"/>
      <c r="R36" s="2"/>
      <c r="S36" s="2"/>
      <c r="T36" s="163"/>
    </row>
    <row r="37" spans="2:20" x14ac:dyDescent="0.2">
      <c r="B37" s="173"/>
      <c r="C37" s="37">
        <f>'Valutazione risorsa idrica'!C24</f>
        <v>0.8</v>
      </c>
      <c r="D37" s="36">
        <f>'Valutazione risorsa idrica'!F58</f>
        <v>0.73505000000000009</v>
      </c>
      <c r="E37" s="36">
        <f>'Valutazione risorsa idrica'!E90</f>
        <v>0.73505000000000009</v>
      </c>
      <c r="F37" s="64">
        <f>IF((1/1000*997*9.81*E37*'Valutazione Potenziale'!I37*'Valutazione del salto'!$J$26)&gt;F36,F36,1/1000*997*9.81*E37*'Valutazione Potenziale'!I37*'Valutazione del salto'!$J$26)</f>
        <v>293.77641324624818</v>
      </c>
      <c r="G37" s="64">
        <f t="shared" si="0"/>
        <v>27.341594852743277</v>
      </c>
      <c r="H37" s="37">
        <f>E37/'Valutazione risorsa idrica'!$K$69</f>
        <v>0.32887407440549438</v>
      </c>
      <c r="I37" s="37">
        <f>'Scelta della turbina'!M133</f>
        <v>0.42772958099371389</v>
      </c>
      <c r="K37" s="2"/>
      <c r="L37" s="2"/>
      <c r="M37" s="2"/>
      <c r="N37" s="2"/>
      <c r="O37" s="2"/>
      <c r="P37" s="2"/>
      <c r="Q37" s="2"/>
      <c r="R37" s="2"/>
      <c r="S37" s="2"/>
      <c r="T37" s="163"/>
    </row>
    <row r="38" spans="2:20" x14ac:dyDescent="0.2">
      <c r="B38" s="173"/>
      <c r="C38" s="37">
        <f>'Valutazione risorsa idrica'!C25</f>
        <v>0.85</v>
      </c>
      <c r="D38" s="36">
        <f>'Valutazione risorsa idrica'!F59</f>
        <v>0.54505000000000003</v>
      </c>
      <c r="E38" s="36">
        <f>'Valutazione risorsa idrica'!E91</f>
        <v>0.54505000000000003</v>
      </c>
      <c r="F38" s="64">
        <f>IF((1/1000*997*9.81*E38*'Valutazione Potenziale'!I38*'Valutazione del salto'!$J$26)&gt;F37,F37,1/1000*997*9.81*E38*'Valutazione Potenziale'!I38*'Valutazione del salto'!$J$26)</f>
        <v>111.91191312314362</v>
      </c>
      <c r="G38" s="64">
        <f t="shared" si="0"/>
        <v>4.627371420719439</v>
      </c>
      <c r="H38" s="37">
        <f>E38/'Valutazione risorsa idrica'!$K$69</f>
        <v>0.24386479049685694</v>
      </c>
      <c r="I38" s="37">
        <f>'Scelta della turbina'!M134</f>
        <v>0.21974005055815313</v>
      </c>
      <c r="K38" s="2"/>
      <c r="L38" s="2"/>
      <c r="M38" s="2"/>
      <c r="N38" s="2"/>
      <c r="O38" s="2"/>
      <c r="P38" s="2"/>
      <c r="Q38" s="2"/>
      <c r="R38" s="2"/>
      <c r="S38" s="2"/>
      <c r="T38" s="163"/>
    </row>
    <row r="39" spans="2:20" x14ac:dyDescent="0.2">
      <c r="B39" s="173"/>
      <c r="C39" s="37">
        <f>'Valutazione risorsa idrica'!C26</f>
        <v>0.9</v>
      </c>
      <c r="D39" s="36">
        <f>'Valutazione risorsa idrica'!F60</f>
        <v>0.33505000000000007</v>
      </c>
      <c r="E39" s="36">
        <f>'Valutazione risorsa idrica'!E92</f>
        <v>0.33505000000000007</v>
      </c>
      <c r="F39" s="64">
        <f>IF((1/1000*997*9.81*E39*'Valutazione Potenziale'!I39*'Valutazione del salto'!$J$26)&gt;F38,F38,1/1000*997*9.81*E39*'Valutazione Potenziale'!I39*'Valutazione del salto'!$J$26)</f>
        <v>29.573524298252401</v>
      </c>
      <c r="G39" s="64">
        <f t="shared" si="0"/>
        <v>0.29078882762656383</v>
      </c>
      <c r="H39" s="37">
        <f>E39/'Valutazione risorsa idrica'!$K$69</f>
        <v>0.14990716091362613</v>
      </c>
      <c r="I39" s="37">
        <f>'Scelta della turbina'!M135</f>
        <v>9.4463211113845452E-2</v>
      </c>
      <c r="K39" s="2"/>
      <c r="L39" s="2"/>
      <c r="M39" s="2"/>
      <c r="N39" s="2"/>
      <c r="O39" s="2"/>
      <c r="P39" s="2"/>
      <c r="Q39" s="2"/>
      <c r="R39" s="2"/>
      <c r="S39" s="2"/>
      <c r="T39" s="163"/>
    </row>
    <row r="40" spans="2:20" x14ac:dyDescent="0.2">
      <c r="B40" s="173"/>
      <c r="C40" s="37">
        <f>'Valutazione risorsa idrica'!C27</f>
        <v>0.95</v>
      </c>
      <c r="D40" s="36">
        <f>'Valutazione risorsa idrica'!F61</f>
        <v>0.23505000000000006</v>
      </c>
      <c r="E40" s="36">
        <f>'Valutazione risorsa idrica'!E93</f>
        <v>0.23505000000000006</v>
      </c>
      <c r="F40" s="64">
        <f>IF((1/1000*997*9.81*E40*'Valutazione Potenziale'!I40*'Valutazione del salto'!$J$26)&gt;F39,F39,1/1000*997*9.81*E40*'Valutazione Potenziale'!I40*'Valutazione del salto'!$J$26)</f>
        <v>0</v>
      </c>
      <c r="G40" s="64">
        <f t="shared" si="0"/>
        <v>0</v>
      </c>
      <c r="H40" s="37">
        <f>E40/'Valutazione risorsa idrica'!$K$69</f>
        <v>0.10516543254065909</v>
      </c>
      <c r="I40" s="37">
        <f>'Scelta della turbina'!M136</f>
        <v>0</v>
      </c>
      <c r="K40" s="2"/>
      <c r="L40" s="2"/>
      <c r="M40" s="2"/>
      <c r="N40" s="2"/>
      <c r="O40" s="2"/>
      <c r="P40" s="2"/>
      <c r="Q40" s="2"/>
      <c r="R40" s="2"/>
      <c r="S40" s="2"/>
      <c r="T40" s="163"/>
    </row>
    <row r="41" spans="2:20" x14ac:dyDescent="0.2">
      <c r="B41" s="173"/>
      <c r="C41" s="37">
        <f>'Valutazione risorsa idrica'!C28</f>
        <v>1</v>
      </c>
      <c r="D41" s="36">
        <f>'Valutazione risorsa idrica'!F62</f>
        <v>0</v>
      </c>
      <c r="E41" s="36">
        <f>'Valutazione risorsa idrica'!E94</f>
        <v>0</v>
      </c>
      <c r="F41" s="64">
        <f>IF((1/1000*997*9.81*E41*'Valutazione Potenziale'!I41*'Valutazione del salto'!$J$26)&gt;F40,F40,1/1000*997*9.81*E41*'Valutazione Potenziale'!I41*'Valutazione del salto'!$J$26)</f>
        <v>0</v>
      </c>
      <c r="G41" s="64">
        <f t="shared" si="0"/>
        <v>0</v>
      </c>
      <c r="H41" s="37">
        <f>E41/'Valutazione risorsa idrica'!$K$69</f>
        <v>0</v>
      </c>
      <c r="I41" s="37">
        <f>'Scelta della turbina'!N137</f>
        <v>0</v>
      </c>
      <c r="K41" s="2"/>
      <c r="L41" s="2"/>
      <c r="M41" s="2"/>
      <c r="N41" s="2"/>
      <c r="O41" s="2"/>
      <c r="P41" s="2"/>
      <c r="Q41" s="2"/>
      <c r="R41" s="2"/>
      <c r="S41" s="2"/>
      <c r="T41" s="163"/>
    </row>
    <row r="42" spans="2:20" s="174" customFormat="1" x14ac:dyDescent="0.2">
      <c r="B42" s="258"/>
      <c r="C42" s="260"/>
      <c r="D42" s="26"/>
      <c r="E42" s="26"/>
      <c r="F42" s="261"/>
      <c r="G42" s="260"/>
      <c r="H42" s="260"/>
      <c r="I42" s="260"/>
      <c r="J42" s="259"/>
      <c r="K42" s="259"/>
      <c r="L42" s="259"/>
      <c r="M42" s="259"/>
      <c r="N42" s="259"/>
      <c r="O42" s="259"/>
      <c r="P42" s="259"/>
      <c r="Q42" s="259"/>
      <c r="R42" s="259"/>
      <c r="S42" s="259"/>
      <c r="T42" s="163"/>
    </row>
    <row r="43" spans="2:20" x14ac:dyDescent="0.2">
      <c r="B43" s="258"/>
      <c r="C43" s="259"/>
      <c r="D43" s="259"/>
      <c r="E43" s="259"/>
      <c r="F43" s="259"/>
      <c r="G43" s="262"/>
      <c r="H43" s="259"/>
      <c r="I43" s="259"/>
      <c r="J43" s="259"/>
      <c r="K43" s="259"/>
      <c r="L43" s="259"/>
      <c r="M43" s="259"/>
      <c r="N43" s="259"/>
      <c r="O43" s="259"/>
      <c r="P43" s="259"/>
      <c r="Q43" s="259"/>
      <c r="R43" s="259"/>
      <c r="S43" s="259"/>
      <c r="T43" s="163"/>
    </row>
    <row r="44" spans="2:20" x14ac:dyDescent="0.2">
      <c r="B44" s="258"/>
      <c r="C44" s="259"/>
      <c r="D44" s="259"/>
      <c r="E44" s="259"/>
      <c r="F44" s="259"/>
      <c r="G44" s="259"/>
      <c r="H44" s="259"/>
      <c r="I44" s="259"/>
      <c r="J44" s="259"/>
      <c r="K44" s="259"/>
      <c r="L44" s="259"/>
      <c r="M44" s="259"/>
      <c r="N44" s="259"/>
      <c r="O44" s="259"/>
      <c r="P44" s="259"/>
      <c r="Q44" s="259"/>
      <c r="R44" s="259"/>
      <c r="S44" s="259"/>
      <c r="T44" s="163"/>
    </row>
    <row r="45" spans="2:20" x14ac:dyDescent="0.2">
      <c r="B45" s="258"/>
      <c r="C45" s="259"/>
      <c r="D45" s="259"/>
      <c r="E45" s="259"/>
      <c r="F45" s="259"/>
      <c r="G45" s="259"/>
      <c r="H45" s="259"/>
      <c r="I45" s="259"/>
      <c r="J45" s="259"/>
      <c r="K45" s="259"/>
      <c r="L45" s="259"/>
      <c r="M45" s="259"/>
      <c r="N45" s="259"/>
      <c r="O45" s="259"/>
      <c r="P45" s="259"/>
      <c r="Q45" s="259"/>
      <c r="R45" s="259"/>
      <c r="S45" s="259"/>
      <c r="T45" s="163"/>
    </row>
    <row r="46" spans="2:20" x14ac:dyDescent="0.2">
      <c r="B46" s="258"/>
      <c r="C46" s="259"/>
      <c r="D46" s="259"/>
      <c r="E46" s="259"/>
      <c r="F46" s="259"/>
      <c r="G46" s="259"/>
      <c r="H46" s="259"/>
      <c r="I46" s="259"/>
      <c r="J46" s="259"/>
      <c r="K46" s="259"/>
      <c r="L46" s="259"/>
      <c r="M46" s="259"/>
      <c r="N46" s="259"/>
      <c r="O46" s="259"/>
      <c r="P46" s="259"/>
      <c r="Q46" s="259"/>
      <c r="R46" s="259"/>
      <c r="S46" s="259"/>
      <c r="T46" s="163"/>
    </row>
    <row r="47" spans="2:20" x14ac:dyDescent="0.2">
      <c r="B47" s="258"/>
      <c r="C47" s="259"/>
      <c r="D47" s="259"/>
      <c r="E47" s="259"/>
      <c r="F47" s="259"/>
      <c r="G47" s="259"/>
      <c r="H47" s="259"/>
      <c r="I47" s="259"/>
      <c r="J47" s="259"/>
      <c r="K47" s="259"/>
      <c r="L47" s="259"/>
      <c r="M47" s="259"/>
      <c r="N47" s="259"/>
      <c r="O47" s="259"/>
      <c r="P47" s="259"/>
      <c r="Q47" s="259"/>
      <c r="R47" s="259"/>
      <c r="S47" s="259"/>
      <c r="T47" s="163"/>
    </row>
    <row r="48" spans="2:20" x14ac:dyDescent="0.2">
      <c r="B48" s="258"/>
      <c r="C48" s="259"/>
      <c r="D48" s="259"/>
      <c r="E48" s="259"/>
      <c r="F48" s="259"/>
      <c r="G48" s="259"/>
      <c r="H48" s="259"/>
      <c r="I48" s="259"/>
      <c r="J48" s="259"/>
      <c r="K48" s="259"/>
      <c r="L48" s="259"/>
      <c r="M48" s="259"/>
      <c r="N48" s="259"/>
      <c r="O48" s="259"/>
      <c r="P48" s="259"/>
      <c r="Q48" s="259"/>
      <c r="R48" s="259"/>
      <c r="S48" s="259"/>
      <c r="T48" s="163"/>
    </row>
    <row r="49" spans="2:20" x14ac:dyDescent="0.2">
      <c r="B49" s="258"/>
      <c r="C49" s="259"/>
      <c r="D49" s="259"/>
      <c r="E49" s="259"/>
      <c r="F49" s="259"/>
      <c r="G49" s="259"/>
      <c r="H49" s="259"/>
      <c r="I49" s="259"/>
      <c r="J49" s="259"/>
      <c r="K49" s="259"/>
      <c r="L49" s="259"/>
      <c r="M49" s="259"/>
      <c r="N49" s="259"/>
      <c r="O49" s="259"/>
      <c r="P49" s="259"/>
      <c r="Q49" s="259"/>
      <c r="R49" s="259"/>
      <c r="S49" s="259"/>
      <c r="T49" s="163"/>
    </row>
    <row r="50" spans="2:20" x14ac:dyDescent="0.2">
      <c r="B50" s="258"/>
      <c r="C50" s="259"/>
      <c r="D50" s="259"/>
      <c r="E50" s="259"/>
      <c r="F50" s="259"/>
      <c r="G50" s="259"/>
      <c r="H50" s="259"/>
      <c r="I50" s="259"/>
      <c r="J50" s="259"/>
      <c r="K50" s="259"/>
      <c r="L50" s="259"/>
      <c r="M50" s="259"/>
      <c r="N50" s="259"/>
      <c r="O50" s="259"/>
      <c r="P50" s="259"/>
      <c r="Q50" s="259"/>
      <c r="R50" s="259"/>
      <c r="S50" s="259"/>
      <c r="T50" s="163"/>
    </row>
    <row r="51" spans="2:20" x14ac:dyDescent="0.2">
      <c r="B51" s="258"/>
      <c r="C51" s="259"/>
      <c r="D51" s="259"/>
      <c r="E51" s="259"/>
      <c r="F51" s="259"/>
      <c r="G51" s="259"/>
      <c r="H51" s="259"/>
      <c r="I51" s="259"/>
      <c r="J51" s="259"/>
      <c r="K51" s="259"/>
      <c r="L51" s="259"/>
      <c r="M51" s="259"/>
      <c r="N51" s="259"/>
      <c r="O51" s="259"/>
      <c r="P51" s="259"/>
      <c r="Q51" s="259"/>
      <c r="R51" s="259"/>
      <c r="S51" s="259"/>
      <c r="T51" s="163"/>
    </row>
    <row r="52" spans="2:20" x14ac:dyDescent="0.2">
      <c r="B52" s="258"/>
      <c r="C52" s="259"/>
      <c r="D52" s="259"/>
      <c r="E52" s="259"/>
      <c r="F52" s="259"/>
      <c r="G52" s="259"/>
      <c r="H52" s="259"/>
      <c r="I52" s="259"/>
      <c r="J52" s="259"/>
      <c r="K52" s="259"/>
      <c r="L52" s="259"/>
      <c r="M52" s="259"/>
      <c r="N52" s="259"/>
      <c r="O52" s="259"/>
      <c r="P52" s="259"/>
      <c r="Q52" s="259"/>
      <c r="R52" s="259"/>
      <c r="S52" s="259"/>
      <c r="T52" s="163"/>
    </row>
    <row r="53" spans="2:20" x14ac:dyDescent="0.2">
      <c r="B53" s="258"/>
      <c r="C53" s="259"/>
      <c r="D53" s="259"/>
      <c r="E53" s="259"/>
      <c r="F53" s="259"/>
      <c r="G53" s="259"/>
      <c r="H53" s="259"/>
      <c r="I53" s="259"/>
      <c r="J53" s="259"/>
      <c r="K53" s="259"/>
      <c r="L53" s="259"/>
      <c r="M53" s="259"/>
      <c r="N53" s="259"/>
      <c r="O53" s="259"/>
      <c r="P53" s="259"/>
      <c r="Q53" s="259"/>
      <c r="R53" s="259"/>
      <c r="S53" s="259"/>
      <c r="T53" s="163"/>
    </row>
    <row r="54" spans="2:20" x14ac:dyDescent="0.2">
      <c r="B54" s="258"/>
      <c r="C54" s="259"/>
      <c r="D54" s="259"/>
      <c r="E54" s="259"/>
      <c r="F54" s="259"/>
      <c r="G54" s="259"/>
      <c r="H54" s="259"/>
      <c r="I54" s="259"/>
      <c r="J54" s="259"/>
      <c r="K54" s="259"/>
      <c r="L54" s="259"/>
      <c r="M54" s="259"/>
      <c r="N54" s="259"/>
      <c r="O54" s="259"/>
      <c r="P54" s="259"/>
      <c r="Q54" s="259"/>
      <c r="R54" s="259"/>
      <c r="S54" s="259"/>
      <c r="T54" s="163"/>
    </row>
    <row r="55" spans="2:20" x14ac:dyDescent="0.2">
      <c r="B55" s="258"/>
      <c r="C55" s="259"/>
      <c r="D55" s="259"/>
      <c r="E55" s="259"/>
      <c r="F55" s="259"/>
      <c r="G55" s="259"/>
      <c r="H55" s="259"/>
      <c r="I55" s="259"/>
      <c r="J55" s="259"/>
      <c r="K55" s="259"/>
      <c r="L55" s="259"/>
      <c r="M55" s="259"/>
      <c r="N55" s="259"/>
      <c r="O55" s="259"/>
      <c r="P55" s="259"/>
      <c r="Q55" s="259"/>
      <c r="R55" s="259"/>
      <c r="S55" s="259"/>
      <c r="T55" s="163"/>
    </row>
    <row r="56" spans="2:20" x14ac:dyDescent="0.2">
      <c r="B56" s="258"/>
      <c r="C56" s="259"/>
      <c r="D56" s="259"/>
      <c r="E56" s="259"/>
      <c r="F56" s="259"/>
      <c r="G56" s="259"/>
      <c r="H56" s="259"/>
      <c r="I56" s="259"/>
      <c r="J56" s="259"/>
      <c r="K56" s="259"/>
      <c r="L56" s="259"/>
      <c r="M56" s="259"/>
      <c r="N56" s="259"/>
      <c r="O56" s="259"/>
      <c r="P56" s="259"/>
      <c r="Q56" s="259"/>
      <c r="R56" s="259"/>
      <c r="S56" s="259"/>
      <c r="T56" s="163"/>
    </row>
    <row r="57" spans="2:20" x14ac:dyDescent="0.2">
      <c r="B57" s="258"/>
      <c r="C57" s="259"/>
      <c r="D57" s="259"/>
      <c r="E57" s="259"/>
      <c r="F57" s="259"/>
      <c r="G57" s="259"/>
      <c r="H57" s="259"/>
      <c r="I57" s="259"/>
      <c r="J57" s="259"/>
      <c r="K57" s="259"/>
      <c r="L57" s="259"/>
      <c r="M57" s="259"/>
      <c r="N57" s="259"/>
      <c r="O57" s="259"/>
      <c r="P57" s="259"/>
      <c r="Q57" s="259"/>
      <c r="R57" s="259"/>
      <c r="S57" s="259"/>
      <c r="T57" s="163"/>
    </row>
    <row r="58" spans="2:20" x14ac:dyDescent="0.2">
      <c r="B58" s="258"/>
      <c r="C58" s="259"/>
      <c r="D58" s="259"/>
      <c r="E58" s="259"/>
      <c r="F58" s="259"/>
      <c r="G58" s="259"/>
      <c r="H58" s="259"/>
      <c r="I58" s="259"/>
      <c r="J58" s="259"/>
      <c r="K58" s="259"/>
      <c r="L58" s="259"/>
      <c r="M58" s="259"/>
      <c r="N58" s="259"/>
      <c r="O58" s="259"/>
      <c r="P58" s="259"/>
      <c r="Q58" s="259"/>
      <c r="R58" s="259"/>
      <c r="S58" s="259"/>
      <c r="T58" s="163"/>
    </row>
    <row r="59" spans="2:20" x14ac:dyDescent="0.2">
      <c r="B59" s="258"/>
      <c r="C59" s="259"/>
      <c r="D59" s="259"/>
      <c r="E59" s="259"/>
      <c r="F59" s="259"/>
      <c r="G59" s="259"/>
      <c r="H59" s="259"/>
      <c r="I59" s="259"/>
      <c r="J59" s="259"/>
      <c r="K59" s="259"/>
      <c r="L59" s="259"/>
      <c r="M59" s="259"/>
      <c r="N59" s="259"/>
      <c r="O59" s="259"/>
      <c r="P59" s="259"/>
      <c r="Q59" s="259"/>
      <c r="R59" s="259"/>
      <c r="S59" s="259"/>
      <c r="T59" s="163"/>
    </row>
    <row r="60" spans="2:20" x14ac:dyDescent="0.2">
      <c r="B60" s="258"/>
      <c r="C60" s="259"/>
      <c r="D60" s="259"/>
      <c r="E60" s="259"/>
      <c r="F60" s="259"/>
      <c r="G60" s="259"/>
      <c r="H60" s="259"/>
      <c r="I60" s="259"/>
      <c r="J60" s="259"/>
      <c r="K60" s="259"/>
      <c r="L60" s="259"/>
      <c r="M60" s="259"/>
      <c r="N60" s="259"/>
      <c r="O60" s="259"/>
      <c r="P60" s="259"/>
      <c r="Q60" s="259"/>
      <c r="R60" s="259"/>
      <c r="S60" s="259"/>
      <c r="T60" s="163"/>
    </row>
    <row r="61" spans="2:20" x14ac:dyDescent="0.2">
      <c r="B61" s="168"/>
      <c r="C61" s="169"/>
      <c r="D61" s="169"/>
      <c r="E61" s="169"/>
      <c r="F61" s="169"/>
      <c r="G61" s="169"/>
      <c r="H61" s="169"/>
      <c r="I61" s="169"/>
      <c r="J61" s="169"/>
      <c r="K61" s="169"/>
      <c r="L61" s="169"/>
      <c r="M61" s="169"/>
      <c r="N61" s="169"/>
      <c r="O61" s="169"/>
      <c r="P61" s="169"/>
      <c r="Q61" s="169"/>
      <c r="R61" s="169"/>
      <c r="S61" s="169"/>
      <c r="T61" s="45"/>
    </row>
    <row r="62" spans="2:20" x14ac:dyDescent="0.2"/>
  </sheetData>
  <sheetProtection password="CA6D" sheet="1" objects="1" scenarios="1" selectLockedCells="1"/>
  <mergeCells count="13">
    <mergeCell ref="L16:P16"/>
    <mergeCell ref="C14:F14"/>
    <mergeCell ref="C16:F16"/>
    <mergeCell ref="C18:F18"/>
    <mergeCell ref="L14:N14"/>
    <mergeCell ref="H3:M3"/>
    <mergeCell ref="C12:F12"/>
    <mergeCell ref="C5:F5"/>
    <mergeCell ref="C6:F6"/>
    <mergeCell ref="C7:F7"/>
    <mergeCell ref="C8:F8"/>
    <mergeCell ref="C9:F9"/>
    <mergeCell ref="C10:F10"/>
  </mergeCells>
  <pageMargins left="0.7" right="0.7" top="0.75" bottom="0.75" header="0.3" footer="0.3"/>
  <pageSetup paperSize="9" orientation="portrait" horizontalDpi="0" verticalDpi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 enableFormatConditionsCalculation="0"/>
  <dimension ref="A1:V127"/>
  <sheetViews>
    <sheetView showGridLines="0" showRowColHeaders="0" workbookViewId="0">
      <selection activeCell="D70" sqref="D70"/>
    </sheetView>
  </sheetViews>
  <sheetFormatPr baseColWidth="10" defaultColWidth="0" defaultRowHeight="16" zeroHeight="1" x14ac:dyDescent="0.2"/>
  <cols>
    <col min="1" max="1" width="3.33203125" style="142" customWidth="1"/>
    <col min="2" max="4" width="11.6640625" customWidth="1"/>
    <col min="5" max="5" width="12.5" customWidth="1"/>
    <col min="6" max="6" width="11.6640625" customWidth="1"/>
    <col min="7" max="7" width="14.33203125" customWidth="1"/>
    <col min="8" max="8" width="13.83203125" style="16" customWidth="1"/>
    <col min="9" max="9" width="17.83203125" style="16" customWidth="1"/>
    <col min="10" max="10" width="15" customWidth="1"/>
    <col min="11" max="11" width="8.6640625" style="142" customWidth="1"/>
    <col min="12" max="12" width="3.33203125" style="142" customWidth="1"/>
    <col min="13" max="13" width="11.6640625" hidden="1" customWidth="1"/>
    <col min="14" max="14" width="10" hidden="1" customWidth="1"/>
    <col min="15" max="16" width="10.83203125" hidden="1" customWidth="1"/>
    <col min="17" max="18" width="5.33203125" hidden="1" customWidth="1"/>
    <col min="19" max="22" width="0" hidden="1" customWidth="1"/>
    <col min="23" max="16384" width="10.83203125" hidden="1"/>
  </cols>
  <sheetData>
    <row r="1" spans="1:14" ht="8" customHeight="1" thickBot="1" x14ac:dyDescent="0.25"/>
    <row r="2" spans="1:14" ht="32" thickBot="1" x14ac:dyDescent="0.4">
      <c r="B2" s="162"/>
      <c r="C2" s="80"/>
      <c r="D2" s="10" t="s">
        <v>99</v>
      </c>
      <c r="E2" s="13"/>
      <c r="F2" s="11"/>
      <c r="G2" s="13"/>
      <c r="H2" s="220"/>
      <c r="I2" s="220"/>
      <c r="J2" s="80"/>
      <c r="K2" s="79"/>
    </row>
    <row r="3" spans="1:14" x14ac:dyDescent="0.2">
      <c r="B3" s="173"/>
      <c r="C3" s="2"/>
      <c r="D3" s="2"/>
      <c r="E3" s="2"/>
      <c r="F3" s="2"/>
      <c r="G3" s="2"/>
      <c r="H3" s="26"/>
      <c r="I3" s="199" t="s">
        <v>183</v>
      </c>
      <c r="J3" s="199"/>
      <c r="K3" s="221"/>
    </row>
    <row r="4" spans="1:14" s="67" customFormat="1" ht="19" x14ac:dyDescent="0.25">
      <c r="A4" s="142"/>
      <c r="B4" s="171" t="s">
        <v>153</v>
      </c>
      <c r="C4" s="171"/>
      <c r="D4" s="70">
        <f>'Scelta della turbina'!E6</f>
        <v>95.535898020299328</v>
      </c>
      <c r="E4" s="2" t="s">
        <v>42</v>
      </c>
      <c r="F4" s="222"/>
      <c r="G4" s="222"/>
      <c r="H4" s="222"/>
      <c r="I4" s="199" t="s">
        <v>184</v>
      </c>
      <c r="J4" s="199"/>
      <c r="K4" s="221"/>
      <c r="L4" s="142"/>
      <c r="M4" s="72"/>
      <c r="N4" s="72"/>
    </row>
    <row r="5" spans="1:14" x14ac:dyDescent="0.2">
      <c r="B5" s="171" t="s">
        <v>100</v>
      </c>
      <c r="C5" s="171"/>
      <c r="D5" s="73">
        <f>'Scelta della turbina'!G48</f>
        <v>2088.4207474312966</v>
      </c>
      <c r="E5" s="2" t="s">
        <v>54</v>
      </c>
      <c r="F5" s="2"/>
      <c r="G5" s="2"/>
      <c r="H5" s="26"/>
      <c r="I5" s="218" t="s">
        <v>185</v>
      </c>
      <c r="J5" s="218"/>
      <c r="K5" s="221"/>
    </row>
    <row r="6" spans="1:14" ht="19" x14ac:dyDescent="0.25">
      <c r="B6" s="172" t="s">
        <v>101</v>
      </c>
      <c r="C6" s="171"/>
      <c r="D6" s="36" t="str">
        <f>'Scelta della turbina'!J78</f>
        <v>FRANCIS</v>
      </c>
      <c r="E6" s="68"/>
      <c r="F6" s="2"/>
      <c r="G6" s="2"/>
      <c r="H6" s="26"/>
      <c r="I6" s="219" t="s">
        <v>186</v>
      </c>
      <c r="J6" s="219"/>
      <c r="K6" s="221"/>
    </row>
    <row r="7" spans="1:14" x14ac:dyDescent="0.2">
      <c r="B7" s="173"/>
      <c r="C7" s="2"/>
      <c r="D7" s="2"/>
      <c r="E7" s="2"/>
      <c r="F7" s="2"/>
      <c r="G7" s="2"/>
      <c r="H7" s="26"/>
      <c r="I7" s="26"/>
      <c r="J7" s="2"/>
      <c r="K7" s="163"/>
    </row>
    <row r="8" spans="1:14" ht="21" x14ac:dyDescent="0.25">
      <c r="B8" s="297" t="s">
        <v>262</v>
      </c>
      <c r="C8" s="298"/>
      <c r="D8" s="298"/>
      <c r="E8" s="298"/>
      <c r="F8" s="298"/>
      <c r="G8" s="298"/>
      <c r="H8" s="298"/>
      <c r="I8" s="298"/>
      <c r="J8" s="2"/>
      <c r="K8" s="163"/>
      <c r="M8" s="2"/>
    </row>
    <row r="9" spans="1:14" ht="17" thickBot="1" x14ac:dyDescent="0.25">
      <c r="B9" s="173"/>
      <c r="C9" s="2"/>
      <c r="D9" s="2"/>
      <c r="E9" s="2"/>
      <c r="F9" s="2"/>
      <c r="G9" s="2"/>
      <c r="H9" s="26"/>
      <c r="I9" s="26"/>
      <c r="J9" s="2"/>
      <c r="K9" s="163"/>
      <c r="M9" s="2"/>
    </row>
    <row r="10" spans="1:14" ht="22" thickBot="1" x14ac:dyDescent="0.3">
      <c r="B10" s="223" t="s">
        <v>104</v>
      </c>
      <c r="C10" s="29"/>
      <c r="D10" s="29"/>
      <c r="E10" s="29"/>
      <c r="F10" s="30"/>
      <c r="G10" s="75" t="s">
        <v>263</v>
      </c>
      <c r="H10" s="76">
        <f>IF(D6="PELTON",C12,IF(D6="CROSSFLOW",C13,IF(D6="FRANCIS",C14,IF(D6="KAPLAN",C15))))</f>
        <v>198.78826004410126</v>
      </c>
      <c r="I10" s="26"/>
      <c r="J10" s="122">
        <f>H10*D5</f>
        <v>415153.52662186889</v>
      </c>
      <c r="K10" s="163"/>
      <c r="M10" s="2"/>
    </row>
    <row r="11" spans="1:14" x14ac:dyDescent="0.2">
      <c r="B11" s="173"/>
      <c r="C11" s="2"/>
      <c r="D11" s="2"/>
      <c r="E11" s="2"/>
      <c r="F11" s="2"/>
      <c r="G11" s="2"/>
      <c r="H11" s="26"/>
      <c r="I11" s="26"/>
      <c r="J11" s="2"/>
      <c r="K11" s="163"/>
    </row>
    <row r="12" spans="1:14" hidden="1" x14ac:dyDescent="0.2">
      <c r="B12" s="224" t="s">
        <v>102</v>
      </c>
      <c r="C12" s="2">
        <f>17693*D5^(-0.3644725)*D4^(-0.281735)</f>
        <v>301.95128179326611</v>
      </c>
      <c r="D12" s="2"/>
      <c r="E12" s="2"/>
      <c r="F12" s="2"/>
      <c r="G12" s="2"/>
      <c r="H12" s="26"/>
      <c r="I12" s="26"/>
      <c r="J12" s="2"/>
      <c r="K12" s="163"/>
    </row>
    <row r="13" spans="1:14" hidden="1" x14ac:dyDescent="0.2">
      <c r="B13" s="224" t="s">
        <v>59</v>
      </c>
      <c r="C13" s="2">
        <f>C12-55</f>
        <v>246.95128179326611</v>
      </c>
      <c r="D13" s="2"/>
      <c r="E13" s="2"/>
      <c r="F13" s="2"/>
      <c r="G13" s="2"/>
      <c r="H13" s="26"/>
      <c r="I13" s="26"/>
      <c r="J13" s="2"/>
      <c r="K13" s="163"/>
    </row>
    <row r="14" spans="1:14" hidden="1" x14ac:dyDescent="0.2">
      <c r="B14" s="224" t="s">
        <v>60</v>
      </c>
      <c r="C14" s="2">
        <f>25698*D5^(-0.560135)*D4^(-0.127243)</f>
        <v>198.78826004410126</v>
      </c>
      <c r="D14" s="2"/>
      <c r="E14" s="2"/>
      <c r="F14" s="2"/>
      <c r="G14" s="2"/>
      <c r="H14" s="26"/>
      <c r="I14" s="26"/>
      <c r="J14" s="2"/>
      <c r="K14" s="163"/>
    </row>
    <row r="15" spans="1:14" hidden="1" x14ac:dyDescent="0.2">
      <c r="B15" s="224" t="s">
        <v>58</v>
      </c>
      <c r="C15" s="2">
        <f>33234*D5^(-0.58338)*D4^(-0.113901)</f>
        <v>228.73058274312808</v>
      </c>
      <c r="D15" s="2"/>
      <c r="E15" s="2"/>
      <c r="F15" s="2"/>
      <c r="G15" s="2"/>
      <c r="H15" s="26"/>
      <c r="I15" s="26"/>
      <c r="J15" s="2"/>
      <c r="K15" s="163"/>
    </row>
    <row r="16" spans="1:14" ht="17" thickBot="1" x14ac:dyDescent="0.25">
      <c r="B16" s="173"/>
      <c r="C16" s="2"/>
      <c r="D16" s="2"/>
      <c r="E16" s="2"/>
      <c r="F16" s="2"/>
      <c r="G16" s="2"/>
      <c r="H16" s="26"/>
      <c r="I16" s="26"/>
      <c r="J16" s="2"/>
      <c r="K16" s="163"/>
    </row>
    <row r="17" spans="2:22" ht="26" thickTop="1" thickBot="1" x14ac:dyDescent="0.35">
      <c r="B17" s="297" t="s">
        <v>103</v>
      </c>
      <c r="C17" s="298"/>
      <c r="D17" s="298"/>
      <c r="E17" s="298"/>
      <c r="F17" s="299"/>
      <c r="G17" s="276" t="s">
        <v>184</v>
      </c>
      <c r="H17" s="296"/>
      <c r="I17" s="296"/>
      <c r="J17" s="277"/>
      <c r="K17" s="163"/>
      <c r="M17" s="32"/>
      <c r="N17" s="32"/>
      <c r="O17" s="32"/>
    </row>
    <row r="18" spans="2:22" ht="18" thickTop="1" thickBot="1" x14ac:dyDescent="0.25">
      <c r="B18" s="173"/>
      <c r="C18" s="2"/>
      <c r="D18" s="71"/>
      <c r="E18" s="71"/>
      <c r="F18" s="71"/>
      <c r="G18" s="71"/>
      <c r="H18" s="83"/>
      <c r="I18" s="83"/>
      <c r="J18" s="2"/>
      <c r="K18" s="163"/>
    </row>
    <row r="19" spans="2:22" ht="22" hidden="1" thickBot="1" x14ac:dyDescent="0.3">
      <c r="B19" s="302" t="s">
        <v>183</v>
      </c>
      <c r="C19" s="304"/>
      <c r="D19" s="304"/>
      <c r="E19" s="303"/>
      <c r="F19" s="2"/>
      <c r="G19" s="2"/>
      <c r="H19" s="26"/>
      <c r="I19" s="26"/>
      <c r="J19" s="2"/>
      <c r="K19" s="163"/>
    </row>
    <row r="20" spans="2:22" ht="17" hidden="1" thickBot="1" x14ac:dyDescent="0.25">
      <c r="B20" s="173"/>
      <c r="C20" s="50"/>
      <c r="D20" s="2"/>
      <c r="E20" s="2"/>
      <c r="F20" s="2"/>
      <c r="G20" s="2"/>
      <c r="H20" s="26"/>
      <c r="I20" s="26"/>
      <c r="J20" s="71"/>
      <c r="K20" s="163"/>
      <c r="Q20" s="71"/>
      <c r="R20" s="71"/>
      <c r="S20" s="71"/>
      <c r="T20" s="71"/>
      <c r="U20" s="71"/>
      <c r="V20" s="71"/>
    </row>
    <row r="21" spans="2:22" ht="19" hidden="1" x14ac:dyDescent="0.25">
      <c r="B21" s="225"/>
      <c r="C21" s="95" t="s">
        <v>152</v>
      </c>
      <c r="D21" s="96"/>
      <c r="E21" s="97" t="s">
        <v>141</v>
      </c>
      <c r="F21" s="98" t="s">
        <v>148</v>
      </c>
      <c r="G21" s="99" t="s">
        <v>149</v>
      </c>
      <c r="H21" s="100" t="s">
        <v>150</v>
      </c>
      <c r="I21" s="101" t="s">
        <v>151</v>
      </c>
      <c r="J21" s="35"/>
      <c r="K21" s="163"/>
      <c r="Q21" s="35"/>
      <c r="R21" s="35"/>
      <c r="S21" s="35"/>
      <c r="T21" s="35"/>
      <c r="U21" s="35"/>
      <c r="V21" s="35"/>
    </row>
    <row r="22" spans="2:22" hidden="1" x14ac:dyDescent="0.2">
      <c r="B22" s="20" t="s">
        <v>105</v>
      </c>
      <c r="C22" s="171"/>
      <c r="D22" s="171"/>
      <c r="E22" s="36"/>
      <c r="F22" s="27"/>
      <c r="G22" s="84"/>
      <c r="H22" s="36"/>
      <c r="I22" s="102"/>
      <c r="J22" s="71"/>
      <c r="K22" s="163"/>
      <c r="M22" s="134"/>
      <c r="N22" s="134"/>
      <c r="O22" s="134"/>
      <c r="P22" s="71"/>
      <c r="Q22" s="71"/>
      <c r="R22" s="71"/>
      <c r="S22" s="71"/>
      <c r="T22" s="71"/>
      <c r="U22" s="71"/>
      <c r="V22" s="71"/>
    </row>
    <row r="23" spans="2:22" ht="19" hidden="1" x14ac:dyDescent="0.2">
      <c r="B23" s="44" t="s">
        <v>106</v>
      </c>
      <c r="C23" s="78"/>
      <c r="D23" s="77"/>
      <c r="E23" s="36" t="s">
        <v>142</v>
      </c>
      <c r="F23" s="200">
        <v>50</v>
      </c>
      <c r="G23" s="232">
        <v>7</v>
      </c>
      <c r="H23" s="86">
        <f>F23*G23</f>
        <v>350</v>
      </c>
      <c r="I23" s="102"/>
      <c r="J23" s="2"/>
      <c r="K23" s="163"/>
      <c r="M23" s="32"/>
      <c r="N23" s="32"/>
      <c r="O23" s="32"/>
    </row>
    <row r="24" spans="2:22" ht="19" hidden="1" x14ac:dyDescent="0.2">
      <c r="B24" s="44" t="s">
        <v>107</v>
      </c>
      <c r="C24" s="78"/>
      <c r="D24" s="77"/>
      <c r="E24" s="36" t="s">
        <v>142</v>
      </c>
      <c r="F24" s="200">
        <v>30</v>
      </c>
      <c r="G24" s="232">
        <v>18</v>
      </c>
      <c r="H24" s="86">
        <f t="shared" ref="H24:H57" si="0">F24*G24</f>
        <v>540</v>
      </c>
      <c r="I24" s="102"/>
      <c r="J24" s="2"/>
      <c r="K24" s="163"/>
      <c r="M24" s="32"/>
      <c r="N24" s="32"/>
      <c r="O24" s="32"/>
    </row>
    <row r="25" spans="2:22" ht="19" hidden="1" x14ac:dyDescent="0.2">
      <c r="B25" s="171" t="s">
        <v>108</v>
      </c>
      <c r="C25" s="44"/>
      <c r="D25" s="77"/>
      <c r="E25" s="36" t="s">
        <v>142</v>
      </c>
      <c r="F25" s="200">
        <v>25</v>
      </c>
      <c r="G25" s="232">
        <v>85</v>
      </c>
      <c r="H25" s="86">
        <f t="shared" si="0"/>
        <v>2125</v>
      </c>
      <c r="I25" s="102"/>
      <c r="J25" s="2"/>
      <c r="K25" s="163"/>
      <c r="M25" s="32"/>
      <c r="N25" s="32"/>
      <c r="O25" s="32"/>
    </row>
    <row r="26" spans="2:22" ht="19" hidden="1" x14ac:dyDescent="0.2">
      <c r="B26" s="171" t="s">
        <v>109</v>
      </c>
      <c r="C26" s="44"/>
      <c r="D26" s="77"/>
      <c r="E26" s="36" t="s">
        <v>142</v>
      </c>
      <c r="F26" s="200">
        <v>5</v>
      </c>
      <c r="G26" s="232">
        <v>130</v>
      </c>
      <c r="H26" s="86">
        <f t="shared" si="0"/>
        <v>650</v>
      </c>
      <c r="I26" s="102"/>
      <c r="J26" s="2"/>
      <c r="K26" s="163"/>
    </row>
    <row r="27" spans="2:22" ht="19" hidden="1" x14ac:dyDescent="0.2">
      <c r="B27" s="44" t="s">
        <v>110</v>
      </c>
      <c r="C27" s="78"/>
      <c r="D27" s="77"/>
      <c r="E27" s="36" t="s">
        <v>143</v>
      </c>
      <c r="F27" s="200">
        <v>10</v>
      </c>
      <c r="G27" s="232">
        <v>26</v>
      </c>
      <c r="H27" s="86">
        <f t="shared" si="0"/>
        <v>260</v>
      </c>
      <c r="I27" s="102"/>
      <c r="J27" s="2"/>
      <c r="K27" s="163"/>
    </row>
    <row r="28" spans="2:22" ht="19" hidden="1" x14ac:dyDescent="0.2">
      <c r="B28" s="44" t="s">
        <v>111</v>
      </c>
      <c r="C28" s="78"/>
      <c r="D28" s="77"/>
      <c r="E28" s="36" t="s">
        <v>142</v>
      </c>
      <c r="F28" s="200">
        <v>20</v>
      </c>
      <c r="G28" s="232">
        <v>50</v>
      </c>
      <c r="H28" s="86">
        <f t="shared" si="0"/>
        <v>1000</v>
      </c>
      <c r="I28" s="102"/>
      <c r="J28" s="2"/>
      <c r="K28" s="163"/>
    </row>
    <row r="29" spans="2:22" hidden="1" x14ac:dyDescent="0.2">
      <c r="B29" s="44" t="s">
        <v>112</v>
      </c>
      <c r="C29" s="78"/>
      <c r="D29" s="77"/>
      <c r="E29" s="36"/>
      <c r="F29" s="27"/>
      <c r="G29" s="232">
        <v>10000</v>
      </c>
      <c r="H29" s="86">
        <f>G29</f>
        <v>10000</v>
      </c>
      <c r="I29" s="102"/>
      <c r="J29" s="2"/>
      <c r="K29" s="163"/>
    </row>
    <row r="30" spans="2:22" hidden="1" x14ac:dyDescent="0.2">
      <c r="B30" s="44" t="s">
        <v>113</v>
      </c>
      <c r="C30" s="78"/>
      <c r="D30" s="77"/>
      <c r="E30" s="36" t="s">
        <v>144</v>
      </c>
      <c r="F30" s="200">
        <v>1000</v>
      </c>
      <c r="G30" s="232">
        <v>1.35</v>
      </c>
      <c r="H30" s="86">
        <f t="shared" si="0"/>
        <v>1350</v>
      </c>
      <c r="I30" s="102"/>
      <c r="J30" s="2"/>
      <c r="K30" s="163"/>
    </row>
    <row r="31" spans="2:22" hidden="1" x14ac:dyDescent="0.2">
      <c r="B31" s="44"/>
      <c r="C31" s="85" t="s">
        <v>114</v>
      </c>
      <c r="D31" s="77"/>
      <c r="E31" s="36"/>
      <c r="F31" s="27"/>
      <c r="G31" s="84"/>
      <c r="H31" s="86"/>
      <c r="I31" s="103">
        <f>SUM(H23:H30)</f>
        <v>16275</v>
      </c>
      <c r="J31" s="2"/>
      <c r="K31" s="163"/>
    </row>
    <row r="32" spans="2:22" hidden="1" x14ac:dyDescent="0.2">
      <c r="B32" s="20" t="s">
        <v>115</v>
      </c>
      <c r="C32" s="44"/>
      <c r="D32" s="77"/>
      <c r="E32" s="36"/>
      <c r="F32" s="27"/>
      <c r="G32" s="84"/>
      <c r="H32" s="86"/>
      <c r="I32" s="102"/>
      <c r="J32" s="2"/>
      <c r="K32" s="163"/>
    </row>
    <row r="33" spans="2:11" ht="19" hidden="1" x14ac:dyDescent="0.2">
      <c r="B33" s="44" t="s">
        <v>106</v>
      </c>
      <c r="C33" s="78"/>
      <c r="D33" s="77"/>
      <c r="E33" s="36" t="s">
        <v>142</v>
      </c>
      <c r="F33" s="200">
        <v>100</v>
      </c>
      <c r="G33" s="232">
        <v>7</v>
      </c>
      <c r="H33" s="86">
        <f t="shared" si="0"/>
        <v>700</v>
      </c>
      <c r="I33" s="102"/>
      <c r="J33" s="2"/>
      <c r="K33" s="163"/>
    </row>
    <row r="34" spans="2:11" ht="19" hidden="1" x14ac:dyDescent="0.2">
      <c r="B34" s="44" t="s">
        <v>107</v>
      </c>
      <c r="C34" s="78"/>
      <c r="D34" s="77"/>
      <c r="E34" s="81" t="s">
        <v>142</v>
      </c>
      <c r="F34" s="233">
        <v>20</v>
      </c>
      <c r="G34" s="232">
        <v>18</v>
      </c>
      <c r="H34" s="86">
        <f t="shared" si="0"/>
        <v>360</v>
      </c>
      <c r="I34" s="102"/>
      <c r="J34" s="2"/>
      <c r="K34" s="163"/>
    </row>
    <row r="35" spans="2:11" ht="19" hidden="1" x14ac:dyDescent="0.2">
      <c r="B35" s="44" t="s">
        <v>116</v>
      </c>
      <c r="C35" s="78"/>
      <c r="D35" s="78"/>
      <c r="E35" s="36" t="s">
        <v>142</v>
      </c>
      <c r="F35" s="200">
        <v>10</v>
      </c>
      <c r="G35" s="232">
        <v>25</v>
      </c>
      <c r="H35" s="86">
        <f t="shared" si="0"/>
        <v>250</v>
      </c>
      <c r="I35" s="102"/>
      <c r="J35" s="2"/>
      <c r="K35" s="163"/>
    </row>
    <row r="36" spans="2:11" hidden="1" x14ac:dyDescent="0.2">
      <c r="B36" s="44" t="s">
        <v>117</v>
      </c>
      <c r="C36" s="78"/>
      <c r="D36" s="78"/>
      <c r="E36" s="36" t="s">
        <v>145</v>
      </c>
      <c r="F36" s="200">
        <v>1100</v>
      </c>
      <c r="G36" s="232">
        <v>240</v>
      </c>
      <c r="H36" s="86">
        <f t="shared" si="0"/>
        <v>264000</v>
      </c>
      <c r="I36" s="102"/>
      <c r="J36" s="2"/>
      <c r="K36" s="163"/>
    </row>
    <row r="37" spans="2:11" hidden="1" x14ac:dyDescent="0.2">
      <c r="B37" s="171" t="s">
        <v>118</v>
      </c>
      <c r="C37" s="44"/>
      <c r="D37" s="77"/>
      <c r="E37" s="82" t="s">
        <v>146</v>
      </c>
      <c r="F37" s="234">
        <v>1</v>
      </c>
      <c r="G37" s="232">
        <v>5000</v>
      </c>
      <c r="H37" s="86">
        <f t="shared" si="0"/>
        <v>5000</v>
      </c>
      <c r="I37" s="102"/>
      <c r="J37" s="2"/>
      <c r="K37" s="163"/>
    </row>
    <row r="38" spans="2:11" ht="19" hidden="1" x14ac:dyDescent="0.2">
      <c r="B38" s="44" t="s">
        <v>119</v>
      </c>
      <c r="C38" s="78"/>
      <c r="D38" s="77"/>
      <c r="E38" s="36" t="s">
        <v>142</v>
      </c>
      <c r="F38" s="200">
        <v>100</v>
      </c>
      <c r="G38" s="232">
        <v>70</v>
      </c>
      <c r="H38" s="86">
        <f t="shared" si="0"/>
        <v>7000</v>
      </c>
      <c r="I38" s="102"/>
      <c r="J38" s="2"/>
      <c r="K38" s="163"/>
    </row>
    <row r="39" spans="2:11" hidden="1" x14ac:dyDescent="0.2">
      <c r="B39" s="44"/>
      <c r="C39" s="85" t="s">
        <v>114</v>
      </c>
      <c r="D39" s="77"/>
      <c r="E39" s="36"/>
      <c r="F39" s="27"/>
      <c r="G39" s="84"/>
      <c r="H39" s="86"/>
      <c r="I39" s="103">
        <f>SUM(H33:H38)</f>
        <v>277310</v>
      </c>
      <c r="J39" s="2"/>
      <c r="K39" s="163"/>
    </row>
    <row r="40" spans="2:11" hidden="1" x14ac:dyDescent="0.2">
      <c r="B40" s="226" t="s">
        <v>120</v>
      </c>
      <c r="C40" s="78"/>
      <c r="D40" s="77"/>
      <c r="E40" s="36"/>
      <c r="F40" s="27"/>
      <c r="G40" s="84"/>
      <c r="H40" s="86"/>
      <c r="I40" s="102"/>
      <c r="J40" s="2"/>
      <c r="K40" s="163"/>
    </row>
    <row r="41" spans="2:11" hidden="1" x14ac:dyDescent="0.2">
      <c r="B41" s="44" t="s">
        <v>121</v>
      </c>
      <c r="C41" s="78"/>
      <c r="D41" s="77"/>
      <c r="E41" s="36" t="s">
        <v>144</v>
      </c>
      <c r="F41" s="200">
        <v>10000</v>
      </c>
      <c r="G41" s="232">
        <v>2.7</v>
      </c>
      <c r="H41" s="86">
        <f t="shared" si="0"/>
        <v>27000</v>
      </c>
      <c r="I41" s="102"/>
      <c r="J41" s="2"/>
      <c r="K41" s="163"/>
    </row>
    <row r="42" spans="2:11" ht="19" hidden="1" x14ac:dyDescent="0.2">
      <c r="B42" s="171" t="s">
        <v>122</v>
      </c>
      <c r="C42" s="44"/>
      <c r="D42" s="77"/>
      <c r="E42" s="36" t="s">
        <v>143</v>
      </c>
      <c r="F42" s="200">
        <v>150</v>
      </c>
      <c r="G42" s="232">
        <v>40</v>
      </c>
      <c r="H42" s="86">
        <f t="shared" si="0"/>
        <v>6000</v>
      </c>
      <c r="I42" s="102"/>
      <c r="J42" s="2"/>
      <c r="K42" s="163"/>
    </row>
    <row r="43" spans="2:11" ht="19" hidden="1" x14ac:dyDescent="0.2">
      <c r="B43" s="171" t="s">
        <v>123</v>
      </c>
      <c r="C43" s="44"/>
      <c r="D43" s="77"/>
      <c r="E43" s="36" t="s">
        <v>142</v>
      </c>
      <c r="F43" s="200">
        <v>50</v>
      </c>
      <c r="G43" s="232">
        <v>35</v>
      </c>
      <c r="H43" s="86">
        <f t="shared" si="0"/>
        <v>1750</v>
      </c>
      <c r="I43" s="102"/>
      <c r="J43" s="2"/>
      <c r="K43" s="163"/>
    </row>
    <row r="44" spans="2:11" hidden="1" x14ac:dyDescent="0.2">
      <c r="B44" s="44" t="s">
        <v>124</v>
      </c>
      <c r="C44" s="78"/>
      <c r="D44" s="77"/>
      <c r="E44" s="36" t="s">
        <v>146</v>
      </c>
      <c r="F44" s="200">
        <v>10</v>
      </c>
      <c r="G44" s="232">
        <v>275</v>
      </c>
      <c r="H44" s="86">
        <f t="shared" si="0"/>
        <v>2750</v>
      </c>
      <c r="I44" s="102"/>
      <c r="J44" s="2"/>
      <c r="K44" s="163"/>
    </row>
    <row r="45" spans="2:11" ht="19" hidden="1" x14ac:dyDescent="0.2">
      <c r="B45" s="171" t="s">
        <v>125</v>
      </c>
      <c r="C45" s="44"/>
      <c r="D45" s="77"/>
      <c r="E45" s="36" t="s">
        <v>142</v>
      </c>
      <c r="F45" s="200">
        <v>100</v>
      </c>
      <c r="G45" s="232">
        <v>55</v>
      </c>
      <c r="H45" s="86">
        <f t="shared" si="0"/>
        <v>5500</v>
      </c>
      <c r="I45" s="102"/>
      <c r="J45" s="2"/>
      <c r="K45" s="163"/>
    </row>
    <row r="46" spans="2:11" hidden="1" x14ac:dyDescent="0.2">
      <c r="B46" s="171" t="s">
        <v>126</v>
      </c>
      <c r="C46" s="44"/>
      <c r="D46" s="77"/>
      <c r="E46" s="36" t="s">
        <v>146</v>
      </c>
      <c r="F46" s="200">
        <v>4</v>
      </c>
      <c r="G46" s="232">
        <v>2000</v>
      </c>
      <c r="H46" s="86">
        <f t="shared" si="0"/>
        <v>8000</v>
      </c>
      <c r="I46" s="102"/>
      <c r="J46" s="2"/>
      <c r="K46" s="163"/>
    </row>
    <row r="47" spans="2:11" hidden="1" x14ac:dyDescent="0.2">
      <c r="B47" s="171" t="s">
        <v>127</v>
      </c>
      <c r="C47" s="171"/>
      <c r="D47" s="171"/>
      <c r="E47" s="36" t="s">
        <v>47</v>
      </c>
      <c r="F47" s="27"/>
      <c r="G47" s="235">
        <v>0.1</v>
      </c>
      <c r="H47" s="86">
        <f>(SUM(H41:H46))*10/100</f>
        <v>5100</v>
      </c>
      <c r="I47" s="102"/>
      <c r="J47" s="2"/>
      <c r="K47" s="163"/>
    </row>
    <row r="48" spans="2:11" hidden="1" x14ac:dyDescent="0.2">
      <c r="B48" s="44"/>
      <c r="C48" s="85" t="s">
        <v>114</v>
      </c>
      <c r="D48" s="77"/>
      <c r="E48" s="36"/>
      <c r="F48" s="27"/>
      <c r="G48" s="84"/>
      <c r="H48" s="86"/>
      <c r="I48" s="103">
        <f>SUM(H41:H47)</f>
        <v>56100</v>
      </c>
      <c r="J48" s="2"/>
      <c r="K48" s="163"/>
    </row>
    <row r="49" spans="2:11" hidden="1" x14ac:dyDescent="0.2">
      <c r="B49" s="20" t="s">
        <v>128</v>
      </c>
      <c r="C49" s="44"/>
      <c r="D49" s="77"/>
      <c r="E49" s="36"/>
      <c r="F49" s="27"/>
      <c r="G49" s="84"/>
      <c r="H49" s="86"/>
      <c r="I49" s="102"/>
      <c r="J49" s="2"/>
      <c r="K49" s="163"/>
    </row>
    <row r="50" spans="2:11" ht="19" hidden="1" x14ac:dyDescent="0.2">
      <c r="B50" s="44" t="s">
        <v>129</v>
      </c>
      <c r="C50" s="78"/>
      <c r="D50" s="77"/>
      <c r="E50" s="36" t="s">
        <v>142</v>
      </c>
      <c r="F50" s="200">
        <v>50</v>
      </c>
      <c r="G50" s="232">
        <v>7</v>
      </c>
      <c r="H50" s="86">
        <f t="shared" si="0"/>
        <v>350</v>
      </c>
      <c r="I50" s="102"/>
      <c r="J50" s="2"/>
      <c r="K50" s="163"/>
    </row>
    <row r="51" spans="2:11" ht="19" hidden="1" x14ac:dyDescent="0.2">
      <c r="B51" s="44" t="s">
        <v>130</v>
      </c>
      <c r="C51" s="78"/>
      <c r="D51" s="77"/>
      <c r="E51" s="36" t="s">
        <v>143</v>
      </c>
      <c r="F51" s="200">
        <v>50</v>
      </c>
      <c r="G51" s="232">
        <v>1500</v>
      </c>
      <c r="H51" s="86">
        <f t="shared" si="0"/>
        <v>75000</v>
      </c>
      <c r="I51" s="102"/>
      <c r="J51" s="2"/>
      <c r="K51" s="163"/>
    </row>
    <row r="52" spans="2:11" hidden="1" x14ac:dyDescent="0.2">
      <c r="B52" s="44" t="s">
        <v>131</v>
      </c>
      <c r="C52" s="78"/>
      <c r="D52" s="77"/>
      <c r="E52" s="36" t="s">
        <v>147</v>
      </c>
      <c r="F52" s="236">
        <f>'Valutazione Potenziale'!G14</f>
        <v>1843.3402785752669</v>
      </c>
      <c r="G52" s="232">
        <v>650</v>
      </c>
      <c r="H52" s="86">
        <f t="shared" si="0"/>
        <v>1198171.1810739236</v>
      </c>
      <c r="I52" s="102"/>
      <c r="J52" s="2"/>
      <c r="K52" s="163"/>
    </row>
    <row r="53" spans="2:11" hidden="1" x14ac:dyDescent="0.2">
      <c r="B53" s="171" t="s">
        <v>132</v>
      </c>
      <c r="C53" s="44"/>
      <c r="D53" s="77"/>
      <c r="E53" s="36"/>
      <c r="F53" s="27"/>
      <c r="G53" s="232">
        <v>180000</v>
      </c>
      <c r="H53" s="86">
        <f>G53</f>
        <v>180000</v>
      </c>
      <c r="I53" s="102"/>
      <c r="J53" s="2"/>
      <c r="K53" s="163"/>
    </row>
    <row r="54" spans="2:11" hidden="1" x14ac:dyDescent="0.2">
      <c r="B54" s="171" t="s">
        <v>133</v>
      </c>
      <c r="C54" s="44"/>
      <c r="D54" s="77"/>
      <c r="E54" s="36" t="s">
        <v>145</v>
      </c>
      <c r="F54" s="200">
        <v>250</v>
      </c>
      <c r="G54" s="232">
        <v>100</v>
      </c>
      <c r="H54" s="86">
        <f t="shared" si="0"/>
        <v>25000</v>
      </c>
      <c r="I54" s="102"/>
      <c r="J54" s="2"/>
      <c r="K54" s="163"/>
    </row>
    <row r="55" spans="2:11" hidden="1" x14ac:dyDescent="0.2">
      <c r="B55" s="44"/>
      <c r="C55" s="85" t="s">
        <v>114</v>
      </c>
      <c r="D55" s="77"/>
      <c r="E55" s="36"/>
      <c r="F55" s="27"/>
      <c r="G55" s="84"/>
      <c r="H55" s="86"/>
      <c r="I55" s="103">
        <f>SUM(H50:H54)</f>
        <v>1478521.1810739236</v>
      </c>
      <c r="J55" s="2"/>
      <c r="K55" s="163"/>
    </row>
    <row r="56" spans="2:11" hidden="1" x14ac:dyDescent="0.2">
      <c r="B56" s="226" t="s">
        <v>134</v>
      </c>
      <c r="C56" s="78"/>
      <c r="D56" s="77"/>
      <c r="E56" s="36"/>
      <c r="F56" s="27"/>
      <c r="G56" s="84"/>
      <c r="H56" s="86"/>
      <c r="I56" s="102"/>
      <c r="J56" s="2"/>
      <c r="K56" s="163"/>
    </row>
    <row r="57" spans="2:11" hidden="1" x14ac:dyDescent="0.2">
      <c r="B57" s="171" t="s">
        <v>135</v>
      </c>
      <c r="C57" s="171"/>
      <c r="D57" s="171"/>
      <c r="E57" s="36" t="s">
        <v>145</v>
      </c>
      <c r="F57" s="200">
        <v>800</v>
      </c>
      <c r="G57" s="232">
        <v>145</v>
      </c>
      <c r="H57" s="86">
        <f t="shared" si="0"/>
        <v>116000</v>
      </c>
      <c r="I57" s="102"/>
      <c r="J57" s="2"/>
      <c r="K57" s="163"/>
    </row>
    <row r="58" spans="2:11" hidden="1" x14ac:dyDescent="0.2">
      <c r="B58" s="44"/>
      <c r="C58" s="85" t="s">
        <v>114</v>
      </c>
      <c r="D58" s="77"/>
      <c r="E58" s="36"/>
      <c r="F58" s="27"/>
      <c r="G58" s="84"/>
      <c r="H58" s="86"/>
      <c r="I58" s="102"/>
      <c r="J58" s="2"/>
      <c r="K58" s="163"/>
    </row>
    <row r="59" spans="2:11" hidden="1" x14ac:dyDescent="0.2">
      <c r="B59" s="20" t="s">
        <v>136</v>
      </c>
      <c r="C59" s="171"/>
      <c r="D59" s="171"/>
      <c r="E59" s="36"/>
      <c r="F59" s="27"/>
      <c r="G59" s="2"/>
      <c r="H59" s="86"/>
      <c r="I59" s="104">
        <f>SUM(I22:I58)</f>
        <v>1828206.1810739236</v>
      </c>
      <c r="J59" s="2"/>
      <c r="K59" s="163"/>
    </row>
    <row r="60" spans="2:11" hidden="1" x14ac:dyDescent="0.2">
      <c r="B60" s="20" t="s">
        <v>137</v>
      </c>
      <c r="C60" s="171"/>
      <c r="D60" s="171"/>
      <c r="E60" s="36" t="s">
        <v>47</v>
      </c>
      <c r="F60" s="27"/>
      <c r="G60" s="235">
        <v>0.1</v>
      </c>
      <c r="H60" s="86">
        <f>G60*I59</f>
        <v>182820.61810739237</v>
      </c>
      <c r="I60" s="102"/>
      <c r="J60" s="2"/>
      <c r="K60" s="163"/>
    </row>
    <row r="61" spans="2:11" hidden="1" x14ac:dyDescent="0.2">
      <c r="B61" s="44"/>
      <c r="C61" s="85" t="s">
        <v>138</v>
      </c>
      <c r="D61" s="77"/>
      <c r="E61" s="36"/>
      <c r="F61" s="27"/>
      <c r="G61" s="84"/>
      <c r="H61" s="86"/>
      <c r="I61" s="103">
        <f>I59+H60</f>
        <v>2011026.799181316</v>
      </c>
      <c r="J61" s="2"/>
      <c r="K61" s="163"/>
    </row>
    <row r="62" spans="2:11" ht="17" hidden="1" thickBot="1" x14ac:dyDescent="0.25">
      <c r="B62" s="227" t="s">
        <v>139</v>
      </c>
      <c r="C62" s="80"/>
      <c r="D62" s="79"/>
      <c r="E62" s="81" t="s">
        <v>47</v>
      </c>
      <c r="F62" s="87"/>
      <c r="G62" s="237">
        <v>0.2</v>
      </c>
      <c r="H62" s="88">
        <f>I61*G62</f>
        <v>402205.35983626323</v>
      </c>
      <c r="I62" s="105"/>
      <c r="J62" s="2"/>
      <c r="K62" s="163"/>
    </row>
    <row r="63" spans="2:11" ht="22" hidden="1" thickBot="1" x14ac:dyDescent="0.3">
      <c r="B63" s="228"/>
      <c r="C63" s="89" t="s">
        <v>140</v>
      </c>
      <c r="D63" s="90"/>
      <c r="E63" s="90"/>
      <c r="F63" s="91"/>
      <c r="G63" s="92"/>
      <c r="H63" s="93"/>
      <c r="I63" s="94">
        <f>I61+H62</f>
        <v>2413232.1590175792</v>
      </c>
      <c r="J63" s="2"/>
      <c r="K63" s="163"/>
    </row>
    <row r="64" spans="2:11" ht="17" hidden="1" thickBot="1" x14ac:dyDescent="0.25">
      <c r="B64" s="173"/>
      <c r="C64" s="2"/>
      <c r="D64" s="2"/>
      <c r="E64" s="2"/>
      <c r="F64" s="2"/>
      <c r="G64" s="2"/>
      <c r="H64" s="26"/>
      <c r="I64" s="26"/>
      <c r="J64" s="2"/>
      <c r="K64" s="163"/>
    </row>
    <row r="65" spans="2:11" ht="22" thickBot="1" x14ac:dyDescent="0.3">
      <c r="B65" s="302" t="s">
        <v>264</v>
      </c>
      <c r="C65" s="303"/>
      <c r="D65" s="2"/>
      <c r="E65" s="2"/>
      <c r="F65" s="2"/>
      <c r="G65" s="2"/>
      <c r="H65" s="26"/>
      <c r="I65" s="26"/>
      <c r="J65" s="2"/>
      <c r="K65" s="163"/>
    </row>
    <row r="66" spans="2:11" x14ac:dyDescent="0.2">
      <c r="B66" s="173"/>
      <c r="C66" s="2"/>
      <c r="D66" s="2"/>
      <c r="E66" s="2"/>
      <c r="F66" s="2"/>
      <c r="G66" s="2"/>
      <c r="H66" s="26"/>
      <c r="I66" s="26"/>
      <c r="J66" s="2"/>
      <c r="K66" s="163"/>
    </row>
    <row r="67" spans="2:11" ht="20" x14ac:dyDescent="0.25">
      <c r="B67" s="171" t="s">
        <v>156</v>
      </c>
      <c r="C67" s="171"/>
      <c r="D67" s="28">
        <f>'Valutazione risorsa idrica'!K69</f>
        <v>2.2350499999999998</v>
      </c>
      <c r="E67" s="171" t="s">
        <v>157</v>
      </c>
      <c r="F67" s="2"/>
      <c r="G67" s="2"/>
      <c r="H67" s="26"/>
      <c r="I67" s="26"/>
      <c r="J67" s="2"/>
      <c r="K67" s="163"/>
    </row>
    <row r="68" spans="2:11" x14ac:dyDescent="0.2">
      <c r="B68" s="171" t="s">
        <v>154</v>
      </c>
      <c r="C68" s="171"/>
      <c r="D68" s="106">
        <f>'Valutazione del salto'!J14</f>
        <v>0.8</v>
      </c>
      <c r="E68" s="171" t="s">
        <v>42</v>
      </c>
      <c r="F68" s="2"/>
      <c r="G68" s="2"/>
      <c r="H68" s="26"/>
      <c r="I68" s="26"/>
      <c r="J68" s="2"/>
      <c r="K68" s="163"/>
    </row>
    <row r="69" spans="2:11" x14ac:dyDescent="0.2">
      <c r="B69" s="171" t="s">
        <v>155</v>
      </c>
      <c r="C69" s="171"/>
      <c r="D69" s="106">
        <f>'Valutazione del salto'!E12</f>
        <v>150</v>
      </c>
      <c r="E69" s="171" t="s">
        <v>42</v>
      </c>
      <c r="F69" s="2"/>
      <c r="G69" s="2"/>
      <c r="H69" s="26"/>
      <c r="I69" s="26"/>
      <c r="J69" s="2"/>
      <c r="K69" s="163"/>
    </row>
    <row r="70" spans="2:11" ht="18" x14ac:dyDescent="0.25">
      <c r="B70" s="300" t="s">
        <v>271</v>
      </c>
      <c r="C70" s="301"/>
      <c r="D70" s="238">
        <v>2000</v>
      </c>
      <c r="E70" s="171" t="s">
        <v>42</v>
      </c>
      <c r="F70" s="2"/>
      <c r="G70" s="2"/>
      <c r="H70" s="26"/>
      <c r="I70" s="26"/>
      <c r="J70" s="2"/>
      <c r="K70" s="163"/>
    </row>
    <row r="71" spans="2:11" ht="17" thickBot="1" x14ac:dyDescent="0.25">
      <c r="B71" s="173"/>
      <c r="C71" s="2"/>
      <c r="D71" s="2"/>
      <c r="E71" s="2"/>
      <c r="F71" s="2"/>
      <c r="G71" s="2"/>
      <c r="H71" s="26"/>
      <c r="I71" s="26"/>
      <c r="J71" s="2"/>
      <c r="K71" s="163"/>
    </row>
    <row r="72" spans="2:11" x14ac:dyDescent="0.2">
      <c r="B72" s="229" t="s">
        <v>158</v>
      </c>
      <c r="C72" s="109"/>
      <c r="D72" s="109"/>
      <c r="E72" s="109"/>
      <c r="F72" s="110" t="s">
        <v>159</v>
      </c>
      <c r="G72" s="57"/>
      <c r="H72" s="26"/>
      <c r="I72" s="26"/>
      <c r="J72" s="2"/>
      <c r="K72" s="163"/>
    </row>
    <row r="73" spans="2:11" x14ac:dyDescent="0.2">
      <c r="B73" s="173"/>
      <c r="C73" s="26"/>
      <c r="D73" s="2"/>
      <c r="E73" s="2"/>
      <c r="F73" s="36" t="s">
        <v>160</v>
      </c>
      <c r="G73" s="239">
        <v>1.9999999999999999E-6</v>
      </c>
      <c r="H73" s="26"/>
      <c r="I73" s="26"/>
      <c r="J73" s="2"/>
      <c r="K73" s="163"/>
    </row>
    <row r="74" spans="2:11" x14ac:dyDescent="0.2">
      <c r="B74" s="173"/>
      <c r="C74" s="26"/>
      <c r="D74" s="2"/>
      <c r="E74" s="2"/>
      <c r="F74" s="36" t="s">
        <v>161</v>
      </c>
      <c r="G74" s="239">
        <v>84238</v>
      </c>
      <c r="H74" s="26"/>
      <c r="I74" s="26"/>
      <c r="J74" s="2"/>
      <c r="K74" s="163"/>
    </row>
    <row r="75" spans="2:11" ht="20" x14ac:dyDescent="0.25">
      <c r="B75" s="173"/>
      <c r="C75" s="26" t="s">
        <v>165</v>
      </c>
      <c r="D75" s="2"/>
      <c r="E75" s="2"/>
      <c r="F75" s="36" t="s">
        <v>162</v>
      </c>
      <c r="G75" s="239">
        <v>81318</v>
      </c>
      <c r="H75" s="26"/>
      <c r="I75" s="26"/>
      <c r="J75" s="2"/>
      <c r="K75" s="163"/>
    </row>
    <row r="76" spans="2:11" ht="18" x14ac:dyDescent="0.25">
      <c r="B76" s="173"/>
      <c r="C76" s="26"/>
      <c r="D76" s="2"/>
      <c r="E76" s="2"/>
      <c r="F76" s="36" t="s">
        <v>36</v>
      </c>
      <c r="G76" s="107">
        <f>D67</f>
        <v>2.2350499999999998</v>
      </c>
      <c r="H76" s="26"/>
      <c r="I76" s="26"/>
      <c r="J76" s="2"/>
      <c r="K76" s="163"/>
    </row>
    <row r="77" spans="2:11" ht="18" x14ac:dyDescent="0.25">
      <c r="B77" s="173"/>
      <c r="C77" s="26"/>
      <c r="D77" s="2"/>
      <c r="E77" s="2"/>
      <c r="F77" s="21" t="s">
        <v>174</v>
      </c>
      <c r="G77" s="111">
        <f>((G73*(G76)^(2))+(G74*G76)+G75)</f>
        <v>269594.14190999093</v>
      </c>
      <c r="H77" s="26"/>
      <c r="I77" s="26"/>
      <c r="J77" s="2"/>
      <c r="K77" s="163"/>
    </row>
    <row r="78" spans="2:11" x14ac:dyDescent="0.2">
      <c r="B78" s="20" t="s">
        <v>163</v>
      </c>
      <c r="C78" s="21"/>
      <c r="D78" s="20"/>
      <c r="E78" s="20"/>
      <c r="F78" s="21" t="s">
        <v>159</v>
      </c>
      <c r="G78" s="102"/>
      <c r="H78" s="26"/>
      <c r="I78" s="26"/>
      <c r="J78" s="2"/>
      <c r="K78" s="163"/>
    </row>
    <row r="79" spans="2:11" x14ac:dyDescent="0.2">
      <c r="B79" s="173"/>
      <c r="C79" s="26"/>
      <c r="D79" s="2"/>
      <c r="E79" s="2"/>
      <c r="F79" s="36" t="s">
        <v>160</v>
      </c>
      <c r="G79" s="239">
        <v>-2.52</v>
      </c>
      <c r="H79" s="26"/>
      <c r="I79" s="26"/>
      <c r="J79" s="2"/>
      <c r="K79" s="163"/>
    </row>
    <row r="80" spans="2:11" x14ac:dyDescent="0.2">
      <c r="B80" s="173"/>
      <c r="C80" s="26"/>
      <c r="D80" s="2"/>
      <c r="E80" s="2"/>
      <c r="F80" s="36" t="s">
        <v>161</v>
      </c>
      <c r="G80" s="239">
        <v>65.16</v>
      </c>
      <c r="H80" s="26"/>
      <c r="I80" s="26"/>
      <c r="J80" s="2"/>
      <c r="K80" s="163"/>
    </row>
    <row r="81" spans="2:11" ht="20" x14ac:dyDescent="0.25">
      <c r="B81" s="173"/>
      <c r="C81" s="26" t="s">
        <v>172</v>
      </c>
      <c r="D81" s="2"/>
      <c r="E81" s="2"/>
      <c r="F81" s="36" t="s">
        <v>162</v>
      </c>
      <c r="G81" s="239">
        <v>254.26</v>
      </c>
      <c r="H81" s="26"/>
      <c r="I81" s="26"/>
      <c r="J81" s="2"/>
      <c r="K81" s="163"/>
    </row>
    <row r="82" spans="2:11" ht="18" x14ac:dyDescent="0.25">
      <c r="B82" s="173"/>
      <c r="C82" s="26"/>
      <c r="D82" s="2"/>
      <c r="E82" s="2"/>
      <c r="F82" s="36" t="s">
        <v>36</v>
      </c>
      <c r="G82" s="107">
        <f>D67</f>
        <v>2.2350499999999998</v>
      </c>
      <c r="H82" s="26"/>
      <c r="I82" s="26"/>
      <c r="J82" s="2"/>
      <c r="K82" s="163"/>
    </row>
    <row r="83" spans="2:11" x14ac:dyDescent="0.2">
      <c r="B83" s="173"/>
      <c r="C83" s="26"/>
      <c r="D83" s="2"/>
      <c r="E83" s="2"/>
      <c r="F83" s="36" t="s">
        <v>164</v>
      </c>
      <c r="G83" s="102">
        <f>D70</f>
        <v>2000</v>
      </c>
      <c r="H83" s="26"/>
      <c r="I83" s="26"/>
      <c r="J83" s="2"/>
      <c r="K83" s="163"/>
    </row>
    <row r="84" spans="2:11" ht="18" x14ac:dyDescent="0.25">
      <c r="B84" s="173"/>
      <c r="C84" s="26"/>
      <c r="D84" s="2"/>
      <c r="E84" s="2"/>
      <c r="F84" s="112" t="s">
        <v>175</v>
      </c>
      <c r="G84" s="113">
        <f>((G79*(G82)^(2))+(G80*G82)+G81)*G83</f>
        <v>774614.65554739989</v>
      </c>
      <c r="H84" s="26"/>
      <c r="I84" s="26"/>
      <c r="J84" s="2"/>
      <c r="K84" s="163"/>
    </row>
    <row r="85" spans="2:11" x14ac:dyDescent="0.2">
      <c r="B85" s="20" t="s">
        <v>166</v>
      </c>
      <c r="C85" s="21"/>
      <c r="D85" s="20"/>
      <c r="E85" s="20"/>
      <c r="F85" s="21" t="s">
        <v>159</v>
      </c>
      <c r="G85" s="104"/>
      <c r="H85" s="26"/>
      <c r="I85" s="26"/>
      <c r="J85" s="2"/>
      <c r="K85" s="163"/>
    </row>
    <row r="86" spans="2:11" x14ac:dyDescent="0.2">
      <c r="B86" s="173"/>
      <c r="C86" s="26"/>
      <c r="D86" s="2"/>
      <c r="E86" s="2"/>
      <c r="F86" s="82" t="s">
        <v>160</v>
      </c>
      <c r="G86" s="240">
        <v>691.56</v>
      </c>
      <c r="H86" s="26"/>
      <c r="I86" s="26"/>
      <c r="J86" s="2"/>
      <c r="K86" s="163"/>
    </row>
    <row r="87" spans="2:11" x14ac:dyDescent="0.2">
      <c r="B87" s="173"/>
      <c r="C87" s="26"/>
      <c r="D87" s="2"/>
      <c r="E87" s="2"/>
      <c r="F87" s="36" t="s">
        <v>161</v>
      </c>
      <c r="G87" s="239">
        <v>447.29</v>
      </c>
      <c r="H87" s="26"/>
      <c r="I87" s="26"/>
      <c r="J87" s="2"/>
      <c r="K87" s="163"/>
    </row>
    <row r="88" spans="2:11" ht="20" x14ac:dyDescent="0.25">
      <c r="B88" s="173"/>
      <c r="C88" s="26" t="s">
        <v>173</v>
      </c>
      <c r="D88" s="2"/>
      <c r="E88" s="2"/>
      <c r="F88" s="36" t="s">
        <v>162</v>
      </c>
      <c r="G88" s="239">
        <v>55.39</v>
      </c>
      <c r="H88" s="26"/>
      <c r="I88" s="26"/>
      <c r="J88" s="2"/>
      <c r="K88" s="163"/>
    </row>
    <row r="89" spans="2:11" x14ac:dyDescent="0.2">
      <c r="B89" s="173"/>
      <c r="C89" s="26"/>
      <c r="D89" s="2"/>
      <c r="E89" s="2"/>
      <c r="F89" s="36" t="s">
        <v>167</v>
      </c>
      <c r="G89" s="102">
        <f>D68</f>
        <v>0.8</v>
      </c>
      <c r="H89" s="26"/>
      <c r="I89" s="26"/>
      <c r="J89" s="2"/>
      <c r="K89" s="163"/>
    </row>
    <row r="90" spans="2:11" x14ac:dyDescent="0.2">
      <c r="B90" s="173"/>
      <c r="C90" s="2"/>
      <c r="D90" s="2"/>
      <c r="E90" s="2"/>
      <c r="F90" s="36" t="s">
        <v>164</v>
      </c>
      <c r="G90" s="102">
        <f>D69</f>
        <v>150</v>
      </c>
      <c r="H90" s="26"/>
      <c r="I90" s="26"/>
      <c r="J90" s="2"/>
      <c r="K90" s="163"/>
    </row>
    <row r="91" spans="2:11" ht="18" x14ac:dyDescent="0.25">
      <c r="B91" s="173"/>
      <c r="C91" s="2"/>
      <c r="D91" s="2"/>
      <c r="E91" s="2"/>
      <c r="F91" s="21" t="s">
        <v>176</v>
      </c>
      <c r="G91" s="111">
        <f>((G86*(G89)^(2))+(G87*G89)+G88)*G90</f>
        <v>128373.06000000001</v>
      </c>
      <c r="H91" s="26"/>
      <c r="I91" s="26"/>
      <c r="J91" s="2"/>
      <c r="K91" s="163"/>
    </row>
    <row r="92" spans="2:11" x14ac:dyDescent="0.2">
      <c r="B92" s="20" t="s">
        <v>168</v>
      </c>
      <c r="C92" s="20"/>
      <c r="D92" s="20"/>
      <c r="E92" s="20"/>
      <c r="F92" s="21" t="s">
        <v>159</v>
      </c>
      <c r="G92" s="104"/>
      <c r="H92" s="26"/>
      <c r="I92" s="26"/>
      <c r="J92" s="2"/>
      <c r="K92" s="163"/>
    </row>
    <row r="93" spans="2:11" x14ac:dyDescent="0.2">
      <c r="B93" s="173"/>
      <c r="C93" s="2"/>
      <c r="D93" s="2"/>
      <c r="E93" s="2"/>
      <c r="F93" s="36" t="s">
        <v>160</v>
      </c>
      <c r="G93" s="239">
        <v>2.3999999999999998E-3</v>
      </c>
      <c r="H93" s="26"/>
      <c r="I93" s="26"/>
      <c r="J93" s="2"/>
      <c r="K93" s="163"/>
    </row>
    <row r="94" spans="2:11" x14ac:dyDescent="0.2">
      <c r="B94" s="173"/>
      <c r="C94" s="2"/>
      <c r="D94" s="2"/>
      <c r="E94" s="2"/>
      <c r="F94" s="36" t="s">
        <v>161</v>
      </c>
      <c r="G94" s="239">
        <v>782.52</v>
      </c>
      <c r="H94" s="26"/>
      <c r="I94" s="26"/>
      <c r="J94" s="2"/>
      <c r="K94" s="163"/>
    </row>
    <row r="95" spans="2:11" ht="20" x14ac:dyDescent="0.25">
      <c r="B95" s="173"/>
      <c r="C95" s="26" t="s">
        <v>170</v>
      </c>
      <c r="D95" s="2"/>
      <c r="E95" s="2"/>
      <c r="F95" s="36" t="s">
        <v>162</v>
      </c>
      <c r="G95" s="239">
        <v>261362</v>
      </c>
      <c r="H95" s="26"/>
      <c r="I95" s="26"/>
      <c r="J95" s="2"/>
      <c r="K95" s="163"/>
    </row>
    <row r="96" spans="2:11" x14ac:dyDescent="0.2">
      <c r="B96" s="173"/>
      <c r="C96" s="2"/>
      <c r="D96" s="2"/>
      <c r="E96" s="2"/>
      <c r="F96" s="36" t="s">
        <v>169</v>
      </c>
      <c r="G96" s="108">
        <f>'Valutazione Potenziale'!G16</f>
        <v>1659.0062507177402</v>
      </c>
      <c r="H96" s="26"/>
      <c r="I96" s="26"/>
      <c r="J96" s="2"/>
      <c r="K96" s="163"/>
    </row>
    <row r="97" spans="2:11" ht="19" thickBot="1" x14ac:dyDescent="0.3">
      <c r="B97" s="173"/>
      <c r="C97" s="2"/>
      <c r="D97" s="2"/>
      <c r="E97" s="2"/>
      <c r="F97" s="112" t="s">
        <v>177</v>
      </c>
      <c r="G97" s="113">
        <f>((G93*(G96)^(2))+(G94*G96)+G95)</f>
        <v>1566173.0954874551</v>
      </c>
      <c r="H97" s="26"/>
      <c r="I97" s="26"/>
      <c r="J97" s="2"/>
      <c r="K97" s="163"/>
    </row>
    <row r="98" spans="2:11" ht="22" thickBot="1" x14ac:dyDescent="0.3">
      <c r="B98" s="230"/>
      <c r="C98" s="175" t="s">
        <v>171</v>
      </c>
      <c r="D98" s="5"/>
      <c r="E98" s="5"/>
      <c r="F98" s="114"/>
      <c r="G98" s="115">
        <f>G77+G84+G91+G97</f>
        <v>2738754.9529448459</v>
      </c>
      <c r="H98" s="26"/>
      <c r="I98" s="26"/>
      <c r="J98" s="2"/>
      <c r="K98" s="163"/>
    </row>
    <row r="99" spans="2:11" ht="17" hidden="1" thickBot="1" x14ac:dyDescent="0.25">
      <c r="B99" s="173"/>
      <c r="C99" s="2"/>
      <c r="D99" s="2"/>
      <c r="E99" s="2"/>
      <c r="F99" s="26"/>
      <c r="G99" s="2"/>
      <c r="H99" s="26"/>
      <c r="I99" s="26"/>
      <c r="J99" s="2"/>
      <c r="K99" s="163"/>
    </row>
    <row r="100" spans="2:11" ht="22" hidden="1" thickBot="1" x14ac:dyDescent="0.3">
      <c r="B100" s="293" t="s">
        <v>185</v>
      </c>
      <c r="C100" s="294"/>
      <c r="D100" s="294"/>
      <c r="E100" s="294"/>
      <c r="F100" s="295"/>
      <c r="G100" s="2"/>
      <c r="H100" s="26"/>
      <c r="I100" s="26"/>
      <c r="J100" s="2"/>
      <c r="K100" s="163"/>
    </row>
    <row r="101" spans="2:11" hidden="1" x14ac:dyDescent="0.2">
      <c r="B101" s="173"/>
      <c r="C101" s="2"/>
      <c r="D101" s="2"/>
      <c r="E101" s="2"/>
      <c r="F101" s="2"/>
      <c r="G101" s="2"/>
      <c r="H101" s="26"/>
      <c r="I101" s="26"/>
      <c r="J101" s="2"/>
      <c r="K101" s="163"/>
    </row>
    <row r="102" spans="2:11" ht="18" hidden="1" x14ac:dyDescent="0.25">
      <c r="B102" s="171" t="s">
        <v>182</v>
      </c>
      <c r="C102" s="171"/>
      <c r="D102" s="120">
        <f>'Valutazione Potenziale'!G14/1000</f>
        <v>1.8433402785752668</v>
      </c>
      <c r="E102" s="2" t="s">
        <v>178</v>
      </c>
      <c r="F102" s="2"/>
      <c r="G102" s="2"/>
      <c r="H102" s="26"/>
      <c r="I102" s="26"/>
      <c r="J102" s="2"/>
      <c r="K102" s="163"/>
    </row>
    <row r="103" spans="2:11" ht="18" hidden="1" x14ac:dyDescent="0.25">
      <c r="B103" s="171" t="s">
        <v>153</v>
      </c>
      <c r="C103" s="171"/>
      <c r="D103" s="70">
        <f>D4</f>
        <v>95.535898020299328</v>
      </c>
      <c r="E103" s="2" t="s">
        <v>42</v>
      </c>
      <c r="F103" s="2"/>
      <c r="G103" s="2"/>
      <c r="H103" s="26"/>
      <c r="I103" s="26"/>
      <c r="J103" s="2"/>
      <c r="K103" s="163"/>
    </row>
    <row r="104" spans="2:11" ht="17" hidden="1" thickBot="1" x14ac:dyDescent="0.25">
      <c r="B104" s="173"/>
      <c r="C104" s="2"/>
      <c r="D104" s="2"/>
      <c r="E104" s="2"/>
      <c r="F104" s="2"/>
      <c r="G104" s="2"/>
      <c r="H104" s="26"/>
      <c r="I104" s="26"/>
      <c r="J104" s="2"/>
      <c r="K104" s="163"/>
    </row>
    <row r="105" spans="2:11" ht="20" hidden="1" thickBot="1" x14ac:dyDescent="0.3">
      <c r="B105" s="116" t="s">
        <v>179</v>
      </c>
      <c r="C105" s="118"/>
      <c r="D105" s="13"/>
      <c r="E105" s="63">
        <f>IF(D103&lt;30,4500*D102^(-0.26),IF(AND(D103&lt;=100,30&lt;D103),4150*D102^(-0.23),IF(D103&gt;=100,4150*D102^(-0.2))))</f>
        <v>3605.444616718486</v>
      </c>
      <c r="F105" s="2" t="s">
        <v>181</v>
      </c>
      <c r="G105" s="2"/>
      <c r="H105" s="121">
        <f>E105/D102*'Valutazione Potenziale'!G14</f>
        <v>3605444.6167184864</v>
      </c>
      <c r="I105" s="26"/>
      <c r="J105" s="2"/>
      <c r="K105" s="163"/>
    </row>
    <row r="106" spans="2:11" ht="17" hidden="1" thickBot="1" x14ac:dyDescent="0.25">
      <c r="B106" s="173"/>
      <c r="C106" s="2"/>
      <c r="D106" s="2"/>
      <c r="E106" s="231"/>
      <c r="F106" s="2"/>
      <c r="G106" s="2"/>
      <c r="H106" s="26"/>
      <c r="I106" s="26"/>
      <c r="J106" s="2"/>
      <c r="K106" s="163"/>
    </row>
    <row r="107" spans="2:11" ht="19" hidden="1" thickBot="1" x14ac:dyDescent="0.3">
      <c r="B107" s="116" t="s">
        <v>180</v>
      </c>
      <c r="C107" s="116"/>
      <c r="D107" s="117"/>
      <c r="E107" s="63">
        <f>IF(D103&lt;=30,84.1*D102^(-0.51),IF(AND(D103&gt;30,D103&lt;=100),70*D102^(-0.47),IF(D103&gt;100,55.8*D102^(-0.45))))</f>
        <v>52.512591218587609</v>
      </c>
      <c r="F107" s="2" t="s">
        <v>181</v>
      </c>
      <c r="G107" s="119">
        <f>E107*'Valutazione Potenziale'!G14/D102</f>
        <v>52512.591218587608</v>
      </c>
      <c r="H107" s="26"/>
      <c r="I107" s="194"/>
      <c r="J107" s="2"/>
      <c r="K107" s="163"/>
    </row>
    <row r="108" spans="2:11" ht="17" hidden="1" thickBot="1" x14ac:dyDescent="0.25">
      <c r="B108" s="173"/>
      <c r="C108" s="2"/>
      <c r="D108" s="2"/>
      <c r="E108" s="2"/>
      <c r="F108" s="2"/>
      <c r="G108" s="2"/>
      <c r="H108" s="26"/>
      <c r="I108" s="26"/>
      <c r="J108" s="2"/>
      <c r="K108" s="163"/>
    </row>
    <row r="109" spans="2:11" ht="22" hidden="1" thickBot="1" x14ac:dyDescent="0.3">
      <c r="B109" s="293" t="s">
        <v>265</v>
      </c>
      <c r="C109" s="294"/>
      <c r="D109" s="294"/>
      <c r="E109" s="294"/>
      <c r="F109" s="295"/>
      <c r="G109" s="2"/>
      <c r="H109" s="26"/>
      <c r="I109" s="26"/>
      <c r="J109" s="2"/>
      <c r="K109" s="163"/>
    </row>
    <row r="110" spans="2:11" hidden="1" x14ac:dyDescent="0.2">
      <c r="B110" s="173"/>
      <c r="C110" s="2"/>
      <c r="D110" s="2"/>
      <c r="E110" s="2"/>
      <c r="F110" s="2"/>
      <c r="G110" s="2"/>
      <c r="H110" s="26"/>
      <c r="I110" s="26"/>
      <c r="J110" s="2"/>
      <c r="K110" s="163"/>
    </row>
    <row r="111" spans="2:11" ht="18" hidden="1" x14ac:dyDescent="0.25">
      <c r="B111" s="171" t="s">
        <v>182</v>
      </c>
      <c r="C111" s="171"/>
      <c r="D111" s="120">
        <f>'Valutazione Potenziale'!G14/1000</f>
        <v>1.8433402785752668</v>
      </c>
      <c r="E111" s="2" t="s">
        <v>178</v>
      </c>
      <c r="F111" s="2"/>
      <c r="G111" s="2"/>
      <c r="H111" s="26"/>
      <c r="I111" s="26"/>
      <c r="J111" s="2"/>
      <c r="K111" s="163"/>
    </row>
    <row r="112" spans="2:11" ht="18" hidden="1" x14ac:dyDescent="0.25">
      <c r="B112" s="171" t="s">
        <v>153</v>
      </c>
      <c r="C112" s="171"/>
      <c r="D112" s="70">
        <f>D4</f>
        <v>95.535898020299328</v>
      </c>
      <c r="E112" s="2" t="s">
        <v>42</v>
      </c>
      <c r="F112" s="2"/>
      <c r="G112" s="2"/>
      <c r="H112" s="26"/>
      <c r="I112" s="26"/>
      <c r="J112" s="2"/>
      <c r="K112" s="163"/>
    </row>
    <row r="113" spans="2:11" ht="17" hidden="1" thickBot="1" x14ac:dyDescent="0.25">
      <c r="B113" s="173"/>
      <c r="C113" s="2"/>
      <c r="D113" s="2"/>
      <c r="E113" s="2"/>
      <c r="F113" s="2"/>
      <c r="G113" s="2"/>
      <c r="H113" s="26"/>
      <c r="I113" s="26"/>
      <c r="J113" s="2"/>
      <c r="K113" s="163"/>
    </row>
    <row r="114" spans="2:11" ht="20" hidden="1" thickBot="1" x14ac:dyDescent="0.3">
      <c r="B114" s="116" t="s">
        <v>179</v>
      </c>
      <c r="C114" s="118"/>
      <c r="D114" s="13"/>
      <c r="E114" s="63">
        <f>IF(D112&lt;=80,4929*D111^(-0.26),IF(D112&gt;80,4257*D111^(-0.2)))</f>
        <v>3766.8866120375205</v>
      </c>
      <c r="F114" s="2" t="s">
        <v>181</v>
      </c>
      <c r="G114" s="2"/>
      <c r="H114" s="121">
        <f>E114*'Valutazione Potenziale'!G14/'Stima dell''investimento'!D102</f>
        <v>3766886.6120375204</v>
      </c>
      <c r="I114" s="26"/>
      <c r="J114" s="2"/>
      <c r="K114" s="163"/>
    </row>
    <row r="115" spans="2:11" ht="17" hidden="1" thickBot="1" x14ac:dyDescent="0.25">
      <c r="B115" s="173"/>
      <c r="C115" s="2"/>
      <c r="D115" s="2"/>
      <c r="E115" s="231"/>
      <c r="F115" s="2"/>
      <c r="G115" s="2"/>
      <c r="H115" s="26"/>
      <c r="I115" s="26"/>
      <c r="J115" s="2"/>
      <c r="K115" s="163"/>
    </row>
    <row r="116" spans="2:11" ht="19" hidden="1" thickBot="1" x14ac:dyDescent="0.3">
      <c r="B116" s="116" t="s">
        <v>180</v>
      </c>
      <c r="C116" s="116"/>
      <c r="D116" s="117"/>
      <c r="E116" s="63">
        <f>180.4*D111^(-0.47)</f>
        <v>135.33244936904578</v>
      </c>
      <c r="F116" s="2" t="s">
        <v>181</v>
      </c>
      <c r="G116" s="119">
        <f>E116*'Valutazione Potenziale'!G14/'Stima dell''investimento'!D111</f>
        <v>135332.44936904579</v>
      </c>
      <c r="H116" s="26"/>
      <c r="I116" s="26"/>
      <c r="J116" s="2"/>
      <c r="K116" s="163"/>
    </row>
    <row r="117" spans="2:11" hidden="1" x14ac:dyDescent="0.2">
      <c r="B117" s="173"/>
      <c r="C117" s="2"/>
      <c r="D117" s="2"/>
      <c r="E117" s="2"/>
      <c r="F117" s="2"/>
      <c r="G117" s="2"/>
      <c r="H117" s="26"/>
      <c r="I117" s="26"/>
      <c r="J117" s="2"/>
      <c r="K117" s="163"/>
    </row>
    <row r="118" spans="2:11" hidden="1" x14ac:dyDescent="0.2">
      <c r="B118" s="173"/>
      <c r="C118" s="2"/>
      <c r="D118" s="2"/>
      <c r="E118" s="2"/>
      <c r="F118" s="2"/>
      <c r="G118" s="2"/>
      <c r="H118" s="26"/>
      <c r="I118" s="26"/>
      <c r="J118" s="2"/>
      <c r="K118" s="163"/>
    </row>
    <row r="119" spans="2:11" x14ac:dyDescent="0.2">
      <c r="B119" s="173"/>
      <c r="C119" s="2"/>
      <c r="D119" s="2"/>
      <c r="E119" s="2"/>
      <c r="F119" s="2"/>
      <c r="G119" s="2"/>
      <c r="H119" s="26"/>
      <c r="I119" s="26"/>
      <c r="J119" s="2"/>
      <c r="K119" s="163"/>
    </row>
    <row r="120" spans="2:11" x14ac:dyDescent="0.2">
      <c r="B120" s="173"/>
      <c r="C120" s="2"/>
      <c r="D120" s="2"/>
      <c r="E120" s="2"/>
      <c r="F120" s="2"/>
      <c r="G120" s="2"/>
      <c r="H120" s="26"/>
      <c r="I120" s="26"/>
      <c r="J120" s="2"/>
      <c r="K120" s="163"/>
    </row>
    <row r="121" spans="2:11" x14ac:dyDescent="0.2">
      <c r="B121" s="173"/>
      <c r="C121" s="2"/>
      <c r="D121" s="2"/>
      <c r="E121" s="2"/>
      <c r="F121" s="2"/>
      <c r="G121" s="2"/>
      <c r="H121" s="26"/>
      <c r="I121" s="26"/>
      <c r="J121" s="2"/>
      <c r="K121" s="163"/>
    </row>
    <row r="122" spans="2:11" x14ac:dyDescent="0.2">
      <c r="B122" s="173"/>
      <c r="C122" s="2"/>
      <c r="D122" s="2"/>
      <c r="E122" s="2"/>
      <c r="F122" s="2"/>
      <c r="G122" s="2"/>
      <c r="H122" s="26"/>
      <c r="I122" s="26"/>
      <c r="J122" s="2"/>
      <c r="K122" s="163"/>
    </row>
    <row r="123" spans="2:11" x14ac:dyDescent="0.2">
      <c r="B123" s="173"/>
      <c r="C123" s="2"/>
      <c r="D123" s="2"/>
      <c r="E123" s="2"/>
      <c r="F123" s="2"/>
      <c r="G123" s="2"/>
      <c r="H123" s="26"/>
      <c r="I123" s="26"/>
      <c r="J123" s="2"/>
      <c r="K123" s="163"/>
    </row>
    <row r="124" spans="2:11" ht="17" thickBot="1" x14ac:dyDescent="0.25">
      <c r="B124" s="173"/>
      <c r="C124" s="2"/>
      <c r="D124" s="2"/>
      <c r="E124" s="2"/>
      <c r="F124" s="2"/>
      <c r="G124" s="2"/>
      <c r="H124" s="26"/>
      <c r="I124" s="26"/>
      <c r="J124" s="2"/>
      <c r="K124" s="163"/>
    </row>
    <row r="125" spans="2:11" ht="41" thickBot="1" x14ac:dyDescent="0.6">
      <c r="B125" s="173"/>
      <c r="C125" s="290" t="s">
        <v>188</v>
      </c>
      <c r="D125" s="291"/>
      <c r="E125" s="291"/>
      <c r="F125" s="291"/>
      <c r="G125" s="291"/>
      <c r="H125" s="292"/>
      <c r="I125" s="254">
        <f>IF(G17="COMPUTO METRICO ESTIMATIVO",I63,IF(G17="FORMULE RSE",G98,IF(G17="VALUTAZIONE SEMPLICE OTTIMISTICA",H105,IF(G17="VALUTAZIONE SEMPLICE PESSIMISTICA",H114,IF(G17="",((I63+G98+H105+H114)/4))))))</f>
        <v>2738754.9529448459</v>
      </c>
      <c r="J125" s="2"/>
      <c r="K125" s="163"/>
    </row>
    <row r="126" spans="2:11" x14ac:dyDescent="0.2">
      <c r="B126" s="168"/>
      <c r="C126" s="169"/>
      <c r="D126" s="169"/>
      <c r="E126" s="169"/>
      <c r="F126" s="169"/>
      <c r="G126" s="169"/>
      <c r="H126" s="217"/>
      <c r="I126" s="217"/>
      <c r="J126" s="169"/>
      <c r="K126" s="45"/>
    </row>
    <row r="127" spans="2:11" x14ac:dyDescent="0.2"/>
  </sheetData>
  <sheetProtection sheet="1" objects="1" scenarios="1" selectLockedCells="1"/>
  <mergeCells count="9">
    <mergeCell ref="C125:H125"/>
    <mergeCell ref="B109:F109"/>
    <mergeCell ref="B100:F100"/>
    <mergeCell ref="G17:J17"/>
    <mergeCell ref="B8:I8"/>
    <mergeCell ref="B17:F17"/>
    <mergeCell ref="B70:C70"/>
    <mergeCell ref="B65:C65"/>
    <mergeCell ref="B19:E19"/>
  </mergeCells>
  <dataValidations count="1">
    <dataValidation type="list" allowBlank="1" showInputMessage="1" showErrorMessage="1" sqref="G17:J17">
      <formula1>$I$2:$I$6</formula1>
    </dataValidation>
  </dataValidations>
  <pageMargins left="0.7" right="0.7" top="0.75" bottom="0.75" header="0.3" footer="0.3"/>
  <pageSetup paperSize="9" orientation="portrait" horizontalDpi="0" verticalDpi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6" enableFormatConditionsCalculation="0"/>
  <dimension ref="A1:N159"/>
  <sheetViews>
    <sheetView showGridLines="0" showRowColHeaders="0" workbookViewId="0">
      <selection activeCell="F9" sqref="F9"/>
    </sheetView>
  </sheetViews>
  <sheetFormatPr baseColWidth="10" defaultColWidth="0" defaultRowHeight="16" zeroHeight="1" x14ac:dyDescent="0.2"/>
  <cols>
    <col min="1" max="1" width="3.33203125" style="174" customWidth="1"/>
    <col min="2" max="2" width="3.33203125" customWidth="1"/>
    <col min="3" max="3" width="10.83203125" customWidth="1"/>
    <col min="4" max="4" width="11.33203125" customWidth="1"/>
    <col min="5" max="5" width="13.1640625" customWidth="1"/>
    <col min="6" max="6" width="14" bestFit="1" customWidth="1"/>
    <col min="7" max="8" width="10.83203125" customWidth="1"/>
    <col min="9" max="9" width="14.83203125" customWidth="1"/>
    <col min="10" max="11" width="10.83203125" customWidth="1"/>
    <col min="12" max="12" width="3.33203125" style="174" customWidth="1"/>
    <col min="13" max="13" width="3.33203125" style="142" customWidth="1"/>
    <col min="14" max="14" width="0" hidden="1" customWidth="1"/>
    <col min="15" max="16384" width="10.83203125" hidden="1"/>
  </cols>
  <sheetData>
    <row r="1" spans="2:14" s="174" customFormat="1" x14ac:dyDescent="0.2"/>
    <row r="2" spans="2:14" ht="14" customHeight="1" thickBot="1" x14ac:dyDescent="0.25">
      <c r="B2" s="162"/>
      <c r="C2" s="80"/>
      <c r="D2" s="80"/>
      <c r="E2" s="80"/>
      <c r="F2" s="80"/>
      <c r="G2" s="80"/>
      <c r="H2" s="80"/>
      <c r="I2" s="80"/>
      <c r="J2" s="80"/>
      <c r="K2" s="80"/>
      <c r="L2" s="79"/>
    </row>
    <row r="3" spans="2:14" ht="29" customHeight="1" thickBot="1" x14ac:dyDescent="0.4">
      <c r="B3" s="173"/>
      <c r="C3" s="2"/>
      <c r="D3" s="2"/>
      <c r="E3" s="174"/>
      <c r="F3" s="278" t="s">
        <v>187</v>
      </c>
      <c r="G3" s="279"/>
      <c r="H3" s="279"/>
      <c r="I3" s="280"/>
      <c r="J3" s="2"/>
      <c r="K3" s="2"/>
      <c r="L3" s="163"/>
    </row>
    <row r="4" spans="2:14" x14ac:dyDescent="0.2">
      <c r="B4" s="173"/>
      <c r="C4" s="2"/>
      <c r="D4" s="2"/>
      <c r="E4" s="2"/>
      <c r="F4" s="2"/>
      <c r="G4" s="2"/>
      <c r="H4" s="2"/>
      <c r="I4" s="2"/>
      <c r="J4" s="2"/>
      <c r="K4" s="2"/>
      <c r="L4" s="163"/>
    </row>
    <row r="5" spans="2:14" ht="24" x14ac:dyDescent="0.3">
      <c r="B5" s="173"/>
      <c r="C5" s="323" t="s">
        <v>266</v>
      </c>
      <c r="D5" s="323"/>
      <c r="E5" s="213"/>
      <c r="F5" s="123"/>
      <c r="G5" s="123"/>
      <c r="H5" s="123"/>
      <c r="I5" s="124"/>
      <c r="J5" s="124"/>
      <c r="K5" s="241"/>
      <c r="L5" s="163"/>
      <c r="N5" s="125"/>
    </row>
    <row r="6" spans="2:14" x14ac:dyDescent="0.2">
      <c r="B6" s="173"/>
      <c r="C6" s="2"/>
      <c r="D6" s="2"/>
      <c r="E6" s="2"/>
      <c r="F6" s="2"/>
      <c r="G6" s="2"/>
      <c r="H6" s="2"/>
      <c r="I6" s="2"/>
      <c r="J6" s="2"/>
      <c r="K6" s="2"/>
      <c r="L6" s="163"/>
    </row>
    <row r="7" spans="2:14" ht="18" x14ac:dyDescent="0.25">
      <c r="B7" s="173"/>
      <c r="C7" s="126" t="s">
        <v>190</v>
      </c>
      <c r="D7" s="127"/>
      <c r="E7" s="127"/>
      <c r="F7" s="128">
        <f>'Stima dell''investimento'!I125</f>
        <v>2738754.9529448459</v>
      </c>
      <c r="G7" s="2" t="s">
        <v>194</v>
      </c>
      <c r="H7" s="2"/>
      <c r="I7" s="2"/>
      <c r="J7" s="2"/>
      <c r="K7" s="2"/>
      <c r="L7" s="163"/>
    </row>
    <row r="8" spans="2:14" ht="18" x14ac:dyDescent="0.25">
      <c r="B8" s="173"/>
      <c r="C8" s="171" t="s">
        <v>189</v>
      </c>
      <c r="D8" s="171"/>
      <c r="E8" s="171"/>
      <c r="F8" s="64">
        <f>'Valutazione Potenziale'!G16</f>
        <v>1659.0062507177402</v>
      </c>
      <c r="G8" s="2" t="s">
        <v>54</v>
      </c>
      <c r="H8" s="2"/>
      <c r="I8" s="2"/>
      <c r="J8" s="2"/>
      <c r="K8" s="2"/>
      <c r="L8" s="163"/>
    </row>
    <row r="9" spans="2:14" ht="18" x14ac:dyDescent="0.25">
      <c r="B9" s="173"/>
      <c r="C9" s="171" t="s">
        <v>191</v>
      </c>
      <c r="D9" s="171"/>
      <c r="E9" s="171"/>
      <c r="F9" s="212">
        <v>0.03</v>
      </c>
      <c r="G9" s="2" t="s">
        <v>195</v>
      </c>
      <c r="H9" s="2"/>
      <c r="I9" s="2"/>
      <c r="J9" s="2"/>
      <c r="K9" s="2"/>
      <c r="L9" s="163"/>
    </row>
    <row r="10" spans="2:14" ht="18" x14ac:dyDescent="0.25">
      <c r="B10" s="173"/>
      <c r="C10" s="171" t="s">
        <v>192</v>
      </c>
      <c r="D10" s="171"/>
      <c r="E10" s="171"/>
      <c r="F10" s="243">
        <v>138</v>
      </c>
      <c r="G10" s="2" t="s">
        <v>196</v>
      </c>
      <c r="H10" s="2"/>
      <c r="I10" s="2"/>
      <c r="J10" s="2"/>
      <c r="K10" s="2"/>
      <c r="L10" s="163"/>
    </row>
    <row r="11" spans="2:14" ht="18" x14ac:dyDescent="0.25">
      <c r="B11" s="173"/>
      <c r="C11" s="171" t="s">
        <v>193</v>
      </c>
      <c r="D11" s="171"/>
      <c r="E11" s="171"/>
      <c r="F11" s="244">
        <f>IF(F8&gt;=600,37,IF(F8&lt;600,29))</f>
        <v>37</v>
      </c>
      <c r="G11" s="314" t="s">
        <v>197</v>
      </c>
      <c r="H11" s="315"/>
      <c r="I11" s="2"/>
      <c r="J11" s="2"/>
      <c r="K11" s="2"/>
      <c r="L11" s="163"/>
    </row>
    <row r="12" spans="2:14" ht="17" thickBot="1" x14ac:dyDescent="0.25">
      <c r="B12" s="173"/>
      <c r="C12" s="2"/>
      <c r="D12" s="2"/>
      <c r="E12" s="2"/>
      <c r="F12" s="2"/>
      <c r="G12" s="2"/>
      <c r="H12" s="2"/>
      <c r="I12" s="2"/>
      <c r="J12" s="2"/>
      <c r="K12" s="2"/>
      <c r="L12" s="163"/>
    </row>
    <row r="13" spans="2:14" ht="19" thickBot="1" x14ac:dyDescent="0.3">
      <c r="B13" s="173"/>
      <c r="C13" s="320" t="s">
        <v>199</v>
      </c>
      <c r="D13" s="321"/>
      <c r="E13" s="322"/>
      <c r="F13" s="74">
        <f>F7*F9</f>
        <v>82162.648588345372</v>
      </c>
      <c r="G13" s="2" t="s">
        <v>198</v>
      </c>
      <c r="H13" s="2"/>
      <c r="I13" s="2"/>
      <c r="J13" s="2"/>
      <c r="K13" s="2"/>
      <c r="L13" s="163"/>
    </row>
    <row r="14" spans="2:14" ht="17" thickBot="1" x14ac:dyDescent="0.25">
      <c r="B14" s="173"/>
      <c r="C14" s="2"/>
      <c r="D14" s="2"/>
      <c r="E14" s="2"/>
      <c r="F14" s="26"/>
      <c r="G14" s="2"/>
      <c r="H14" s="2"/>
      <c r="I14" s="2"/>
      <c r="J14" s="2"/>
      <c r="K14" s="2"/>
      <c r="L14" s="163"/>
    </row>
    <row r="15" spans="2:14" ht="19" thickBot="1" x14ac:dyDescent="0.3">
      <c r="B15" s="173"/>
      <c r="C15" s="320" t="s">
        <v>241</v>
      </c>
      <c r="D15" s="321"/>
      <c r="E15" s="322"/>
      <c r="F15" s="74">
        <f>F10+(F11*F8)</f>
        <v>61521.231276556384</v>
      </c>
      <c r="G15" s="2" t="s">
        <v>198</v>
      </c>
      <c r="H15" s="2"/>
      <c r="I15" s="2"/>
      <c r="J15" s="2"/>
      <c r="K15" s="2"/>
      <c r="L15" s="163"/>
    </row>
    <row r="16" spans="2:14" ht="17" thickBot="1" x14ac:dyDescent="0.25">
      <c r="B16" s="173"/>
      <c r="C16" s="2"/>
      <c r="D16" s="2"/>
      <c r="E16" s="2"/>
      <c r="F16" s="2"/>
      <c r="G16" s="2"/>
      <c r="H16" s="2"/>
      <c r="I16" s="2"/>
      <c r="J16" s="2"/>
      <c r="K16" s="2"/>
      <c r="L16" s="163"/>
    </row>
    <row r="17" spans="2:12" ht="22" thickBot="1" x14ac:dyDescent="0.3">
      <c r="B17" s="173"/>
      <c r="C17" s="268" t="s">
        <v>200</v>
      </c>
      <c r="D17" s="269"/>
      <c r="E17" s="270"/>
      <c r="F17" s="122">
        <f>F13+F15</f>
        <v>143683.87986490177</v>
      </c>
      <c r="G17" s="2" t="s">
        <v>198</v>
      </c>
      <c r="H17" s="2"/>
      <c r="I17" s="2"/>
      <c r="J17" s="2"/>
      <c r="K17" s="2"/>
      <c r="L17" s="163"/>
    </row>
    <row r="18" spans="2:12" x14ac:dyDescent="0.2">
      <c r="B18" s="173"/>
      <c r="C18" s="2"/>
      <c r="D18" s="2"/>
      <c r="E18" s="2"/>
      <c r="F18" s="2"/>
      <c r="G18" s="2"/>
      <c r="H18" s="2"/>
      <c r="I18" s="2"/>
      <c r="J18" s="2"/>
      <c r="K18" s="2"/>
      <c r="L18" s="163"/>
    </row>
    <row r="19" spans="2:12" ht="24" x14ac:dyDescent="0.3">
      <c r="B19" s="173"/>
      <c r="C19" s="323" t="s">
        <v>267</v>
      </c>
      <c r="D19" s="323"/>
      <c r="E19" s="323"/>
      <c r="F19" s="2"/>
      <c r="G19" s="2"/>
      <c r="H19" s="2"/>
      <c r="I19" s="2"/>
      <c r="J19" s="246"/>
      <c r="K19" s="246"/>
      <c r="L19" s="163"/>
    </row>
    <row r="20" spans="2:12" x14ac:dyDescent="0.2">
      <c r="B20" s="173"/>
      <c r="C20" s="2"/>
      <c r="D20" s="2"/>
      <c r="E20" s="2"/>
      <c r="F20" s="2"/>
      <c r="G20" s="2"/>
      <c r="H20" s="2"/>
      <c r="I20" s="2"/>
      <c r="J20" s="246"/>
      <c r="K20" s="2"/>
      <c r="L20" s="163"/>
    </row>
    <row r="21" spans="2:12" x14ac:dyDescent="0.2">
      <c r="B21" s="173"/>
      <c r="C21" s="171" t="s">
        <v>202</v>
      </c>
      <c r="D21" s="171"/>
      <c r="E21" s="171"/>
      <c r="F21" s="73">
        <f>'Valutazione Potenziale'!Q16</f>
        <v>7338.1367697102978</v>
      </c>
      <c r="G21" s="171" t="s">
        <v>80</v>
      </c>
      <c r="H21" s="2"/>
      <c r="I21" s="2"/>
      <c r="J21" s="246"/>
      <c r="K21" s="2"/>
      <c r="L21" s="163"/>
    </row>
    <row r="22" spans="2:12" x14ac:dyDescent="0.2">
      <c r="B22" s="173"/>
      <c r="C22" s="171" t="s">
        <v>201</v>
      </c>
      <c r="D22" s="171"/>
      <c r="E22" s="171"/>
      <c r="F22" s="132">
        <f>IF('Valutazione Potenziale'!Q16*1000&lt;250000,154.7,IF(AND('Valutazione Potenziale'!Q16*1000&gt;250000,'Valutazione Potenziale'!Q16*1000&lt;500000),106.3,IF(AND('Valutazione Potenziale'!Q16*1000&gt;500000,'Valutazione Potenziale'!Q16*1000&lt;1000000),67.1,IF('Valutazione Potenziale'!Q16*1000&gt;1000000,58.1))))</f>
        <v>58.1</v>
      </c>
      <c r="G22" s="171" t="s">
        <v>203</v>
      </c>
      <c r="H22" s="133">
        <f>F22/1000</f>
        <v>5.8099999999999999E-2</v>
      </c>
      <c r="I22" s="171" t="s">
        <v>204</v>
      </c>
      <c r="J22" s="2"/>
      <c r="K22" s="2"/>
      <c r="L22" s="163"/>
    </row>
    <row r="23" spans="2:12" x14ac:dyDescent="0.2">
      <c r="B23" s="173"/>
      <c r="C23" s="2"/>
      <c r="D23" s="2"/>
      <c r="E23" s="2"/>
      <c r="F23" s="2"/>
      <c r="G23" s="2"/>
      <c r="H23" s="2"/>
      <c r="I23" s="2"/>
      <c r="J23" s="2"/>
      <c r="K23" s="2"/>
      <c r="L23" s="163"/>
    </row>
    <row r="24" spans="2:12" ht="18" x14ac:dyDescent="0.25">
      <c r="B24" s="173"/>
      <c r="C24" s="136" t="s">
        <v>206</v>
      </c>
      <c r="D24" s="68"/>
      <c r="E24" s="68"/>
      <c r="F24" s="68"/>
      <c r="G24" s="68"/>
      <c r="H24" s="2"/>
      <c r="I24" s="2"/>
      <c r="J24" s="2"/>
      <c r="K24" s="2"/>
      <c r="L24" s="163"/>
    </row>
    <row r="25" spans="2:12" ht="17" thickBot="1" x14ac:dyDescent="0.25">
      <c r="B25" s="173"/>
      <c r="C25" s="2"/>
      <c r="D25" s="2"/>
      <c r="E25" s="2"/>
      <c r="F25" s="2"/>
      <c r="G25" s="2"/>
      <c r="H25" s="2"/>
      <c r="I25" s="2"/>
      <c r="J25" s="2"/>
      <c r="K25" s="2"/>
      <c r="L25" s="163"/>
    </row>
    <row r="26" spans="2:12" ht="17" thickBot="1" x14ac:dyDescent="0.25">
      <c r="B26" s="173"/>
      <c r="C26" s="143"/>
      <c r="D26" s="316" t="s">
        <v>4</v>
      </c>
      <c r="E26" s="317"/>
      <c r="F26" s="71"/>
      <c r="G26" s="145"/>
      <c r="H26" s="318" t="s">
        <v>205</v>
      </c>
      <c r="I26" s="319"/>
      <c r="J26" s="2"/>
      <c r="K26" s="196">
        <v>1</v>
      </c>
      <c r="L26" s="163"/>
    </row>
    <row r="27" spans="2:12" x14ac:dyDescent="0.2">
      <c r="B27" s="173"/>
      <c r="C27" s="2"/>
      <c r="D27" s="27" t="str">
        <f>IF(K26=1,"p_ce","")</f>
        <v>p_ce</v>
      </c>
      <c r="E27" s="200">
        <v>0.09</v>
      </c>
      <c r="F27" s="2"/>
      <c r="G27" s="2"/>
      <c r="H27" s="2"/>
      <c r="I27" s="2"/>
      <c r="J27" s="2"/>
      <c r="K27" s="2"/>
      <c r="L27" s="163"/>
    </row>
    <row r="28" spans="2:12" ht="17" thickBot="1" x14ac:dyDescent="0.25">
      <c r="B28" s="173"/>
      <c r="C28" s="2"/>
      <c r="D28" s="2"/>
      <c r="E28" s="2"/>
      <c r="F28" s="2"/>
      <c r="G28" s="2"/>
      <c r="H28" s="2"/>
      <c r="I28" s="2"/>
      <c r="J28" s="2"/>
      <c r="K28" s="2"/>
      <c r="L28" s="163"/>
    </row>
    <row r="29" spans="2:12" ht="19" thickBot="1" x14ac:dyDescent="0.3">
      <c r="B29" s="173"/>
      <c r="C29" s="17" t="s">
        <v>207</v>
      </c>
      <c r="D29" s="130"/>
      <c r="E29" s="137"/>
      <c r="F29" s="253">
        <f>IF(K26=1,E27,IF(K26=2,H22))</f>
        <v>0.09</v>
      </c>
      <c r="G29" s="2" t="s">
        <v>204</v>
      </c>
      <c r="H29" s="2"/>
      <c r="I29" s="2"/>
      <c r="J29" s="2"/>
      <c r="K29" s="2"/>
      <c r="L29" s="163"/>
    </row>
    <row r="30" spans="2:12" ht="17" thickBot="1" x14ac:dyDescent="0.25">
      <c r="B30" s="173"/>
      <c r="C30" s="2"/>
      <c r="D30" s="2"/>
      <c r="E30" s="2"/>
      <c r="F30" s="2"/>
      <c r="G30" s="2"/>
      <c r="H30" s="2"/>
      <c r="I30" s="2"/>
      <c r="J30" s="2"/>
      <c r="K30" s="2"/>
      <c r="L30" s="163"/>
    </row>
    <row r="31" spans="2:12" ht="22" thickBot="1" x14ac:dyDescent="0.3">
      <c r="B31" s="173"/>
      <c r="C31" s="25"/>
      <c r="D31" s="176" t="s">
        <v>208</v>
      </c>
      <c r="E31" s="138"/>
      <c r="F31" s="122">
        <f>F29*F21*1000</f>
        <v>660432.30927392677</v>
      </c>
      <c r="G31" s="2" t="s">
        <v>198</v>
      </c>
      <c r="H31" s="2"/>
      <c r="I31" s="2"/>
      <c r="J31" s="2"/>
      <c r="K31" s="2"/>
      <c r="L31" s="163"/>
    </row>
    <row r="32" spans="2:12" x14ac:dyDescent="0.2">
      <c r="B32" s="173"/>
      <c r="C32" s="2"/>
      <c r="D32" s="2"/>
      <c r="E32" s="2"/>
      <c r="F32" s="208"/>
      <c r="G32" s="2"/>
      <c r="H32" s="2"/>
      <c r="I32" s="2"/>
      <c r="J32" s="2"/>
      <c r="K32" s="2"/>
      <c r="L32" s="163"/>
    </row>
    <row r="33" spans="2:12" ht="24" x14ac:dyDescent="0.3">
      <c r="B33" s="173"/>
      <c r="C33" s="266" t="s">
        <v>269</v>
      </c>
      <c r="D33" s="266"/>
      <c r="E33" s="266"/>
      <c r="F33" s="2"/>
      <c r="G33" s="2"/>
      <c r="H33" s="2"/>
      <c r="I33" s="2"/>
      <c r="J33" s="2"/>
      <c r="K33" s="2"/>
      <c r="L33" s="163"/>
    </row>
    <row r="34" spans="2:12" x14ac:dyDescent="0.2">
      <c r="B34" s="173"/>
      <c r="C34" s="2"/>
      <c r="D34" s="2"/>
      <c r="E34" s="2"/>
      <c r="F34" s="2"/>
      <c r="G34" s="2"/>
      <c r="H34" s="2"/>
      <c r="I34" s="2"/>
      <c r="J34" s="2"/>
      <c r="K34" s="2"/>
      <c r="L34" s="163"/>
    </row>
    <row r="35" spans="2:12" x14ac:dyDescent="0.2">
      <c r="B35" s="173"/>
      <c r="C35" s="282" t="s">
        <v>213</v>
      </c>
      <c r="D35" s="282"/>
      <c r="E35" s="282"/>
      <c r="F35" s="128">
        <f>F17</f>
        <v>143683.87986490177</v>
      </c>
      <c r="G35" s="2"/>
      <c r="H35" s="2"/>
      <c r="I35" s="2"/>
      <c r="J35" s="2"/>
      <c r="K35" s="2"/>
      <c r="L35" s="163"/>
    </row>
    <row r="36" spans="2:12" x14ac:dyDescent="0.2">
      <c r="B36" s="173"/>
      <c r="C36" s="282" t="s">
        <v>212</v>
      </c>
      <c r="D36" s="282"/>
      <c r="E36" s="282"/>
      <c r="F36" s="128">
        <f>F31</f>
        <v>660432.30927392677</v>
      </c>
      <c r="G36" s="2"/>
      <c r="H36" s="2"/>
      <c r="I36" s="2"/>
      <c r="J36" s="2"/>
      <c r="K36" s="2"/>
      <c r="L36" s="163"/>
    </row>
    <row r="37" spans="2:12" x14ac:dyDescent="0.2">
      <c r="B37" s="173"/>
      <c r="C37" s="282" t="s">
        <v>210</v>
      </c>
      <c r="D37" s="282"/>
      <c r="E37" s="282"/>
      <c r="F37" s="212">
        <v>0.05</v>
      </c>
      <c r="G37" s="2"/>
      <c r="H37" s="2"/>
      <c r="I37" s="2"/>
      <c r="J37" s="2"/>
      <c r="K37" s="2"/>
      <c r="L37" s="163"/>
    </row>
    <row r="38" spans="2:12" x14ac:dyDescent="0.2">
      <c r="B38" s="173"/>
      <c r="C38" s="283" t="s">
        <v>209</v>
      </c>
      <c r="D38" s="283"/>
      <c r="E38" s="283"/>
      <c r="F38" s="200">
        <v>30</v>
      </c>
      <c r="G38" s="2" t="s">
        <v>211</v>
      </c>
      <c r="H38" s="2"/>
      <c r="I38" s="2"/>
      <c r="J38" s="2"/>
      <c r="K38" s="2"/>
      <c r="L38" s="163"/>
    </row>
    <row r="39" spans="2:12" x14ac:dyDescent="0.2">
      <c r="B39" s="173"/>
      <c r="C39" s="2"/>
      <c r="D39" s="2"/>
      <c r="E39" s="2"/>
      <c r="F39" s="2"/>
      <c r="G39" s="2"/>
      <c r="H39" s="2"/>
      <c r="I39" s="2"/>
      <c r="J39" s="2"/>
      <c r="K39" s="2"/>
      <c r="L39" s="163"/>
    </row>
    <row r="40" spans="2:12" x14ac:dyDescent="0.2">
      <c r="B40" s="173"/>
      <c r="C40" s="20" t="s">
        <v>214</v>
      </c>
      <c r="D40" s="171"/>
      <c r="E40" s="141">
        <f>-F7</f>
        <v>-2738754.9529448459</v>
      </c>
      <c r="F40" s="140"/>
      <c r="G40" s="2"/>
      <c r="H40" s="2"/>
      <c r="I40" s="2"/>
      <c r="J40" s="2"/>
      <c r="K40" s="2"/>
      <c r="L40" s="163"/>
    </row>
    <row r="41" spans="2:12" x14ac:dyDescent="0.2">
      <c r="B41" s="173"/>
      <c r="C41" s="20" t="s">
        <v>215</v>
      </c>
      <c r="D41" s="20"/>
      <c r="E41" s="139">
        <f>F36-F35</f>
        <v>516748.429409025</v>
      </c>
      <c r="F41" s="2"/>
      <c r="G41" s="2"/>
      <c r="H41" s="2"/>
      <c r="I41" s="2"/>
      <c r="J41" s="2"/>
      <c r="K41" s="2"/>
      <c r="L41" s="163"/>
    </row>
    <row r="42" spans="2:12" x14ac:dyDescent="0.2">
      <c r="B42" s="173"/>
      <c r="C42" s="26"/>
      <c r="D42" s="26"/>
      <c r="E42" s="242"/>
      <c r="F42" s="2"/>
      <c r="G42" s="2"/>
      <c r="H42" s="2"/>
      <c r="I42" s="2"/>
      <c r="J42" s="2"/>
      <c r="K42" s="2"/>
      <c r="L42" s="163"/>
    </row>
    <row r="43" spans="2:12" hidden="1" x14ac:dyDescent="0.2">
      <c r="B43" s="173"/>
      <c r="C43" s="36" t="s">
        <v>216</v>
      </c>
      <c r="D43" s="36" t="s">
        <v>217</v>
      </c>
      <c r="E43" s="171" t="s">
        <v>218</v>
      </c>
      <c r="F43" s="2"/>
      <c r="G43" s="2"/>
      <c r="H43" s="2"/>
      <c r="I43" s="2"/>
      <c r="J43" s="2"/>
      <c r="K43" s="2"/>
      <c r="L43" s="163"/>
    </row>
    <row r="44" spans="2:12" hidden="1" x14ac:dyDescent="0.2">
      <c r="B44" s="173"/>
      <c r="C44" s="171">
        <v>0</v>
      </c>
      <c r="D44" s="139">
        <f>-F7</f>
        <v>-2738754.9529448459</v>
      </c>
      <c r="E44" s="171">
        <v>0</v>
      </c>
      <c r="F44" s="242">
        <f>(-D44/((1+$F$37)^(C44)))</f>
        <v>2738754.9529448459</v>
      </c>
      <c r="G44" s="263">
        <v>0</v>
      </c>
      <c r="H44" s="2"/>
      <c r="I44" s="2"/>
      <c r="J44" s="2"/>
      <c r="K44" s="2"/>
      <c r="L44" s="163"/>
    </row>
    <row r="45" spans="2:12" hidden="1" x14ac:dyDescent="0.2">
      <c r="B45" s="173"/>
      <c r="C45" s="171">
        <f>1+C44</f>
        <v>1</v>
      </c>
      <c r="D45" s="139">
        <f>-$F$35</f>
        <v>-143683.87986490177</v>
      </c>
      <c r="E45" s="139">
        <f>$F$36</f>
        <v>660432.30927392677</v>
      </c>
      <c r="F45" s="242">
        <f t="shared" ref="F45:F74" si="0">(-D45/((1+$F$37)^(C45)))</f>
        <v>136841.7903475255</v>
      </c>
      <c r="G45" s="263">
        <f>('Valutazione Potenziale'!$Q$16/((1+$F$37)^(C45)))*1000</f>
        <v>6988701.6854383787</v>
      </c>
      <c r="H45" s="2"/>
      <c r="I45" s="2"/>
      <c r="J45" s="2"/>
      <c r="K45" s="2"/>
      <c r="L45" s="163"/>
    </row>
    <row r="46" spans="2:12" hidden="1" x14ac:dyDescent="0.2">
      <c r="B46" s="173"/>
      <c r="C46" s="171">
        <f t="shared" ref="C46:C74" si="1">1+C45</f>
        <v>2</v>
      </c>
      <c r="D46" s="139">
        <f t="shared" ref="D46:D74" si="2">-$F$35</f>
        <v>-143683.87986490177</v>
      </c>
      <c r="E46" s="139">
        <f t="shared" ref="E46:E74" si="3">$F$36</f>
        <v>660432.30927392677</v>
      </c>
      <c r="F46" s="242">
        <f t="shared" si="0"/>
        <v>130325.51461669094</v>
      </c>
      <c r="G46" s="263">
        <f>('Valutazione Potenziale'!$Q$16/((1+$F$37)^(C46)))*1000</f>
        <v>6655906.3670841698</v>
      </c>
      <c r="H46" s="2"/>
      <c r="I46" s="2"/>
      <c r="J46" s="2"/>
      <c r="K46" s="2"/>
      <c r="L46" s="163"/>
    </row>
    <row r="47" spans="2:12" hidden="1" x14ac:dyDescent="0.2">
      <c r="B47" s="173"/>
      <c r="C47" s="171">
        <f t="shared" si="1"/>
        <v>3</v>
      </c>
      <c r="D47" s="139">
        <f t="shared" si="2"/>
        <v>-143683.87986490177</v>
      </c>
      <c r="E47" s="139">
        <f t="shared" si="3"/>
        <v>660432.30927392677</v>
      </c>
      <c r="F47" s="242">
        <f t="shared" si="0"/>
        <v>124119.53773018184</v>
      </c>
      <c r="G47" s="263">
        <f>('Valutazione Potenziale'!$Q$16/((1+$F$37)^(C47)))*1000</f>
        <v>6338958.4448420666</v>
      </c>
      <c r="H47" s="2"/>
      <c r="I47" s="2"/>
      <c r="J47" s="2"/>
      <c r="K47" s="2"/>
      <c r="L47" s="163"/>
    </row>
    <row r="48" spans="2:12" hidden="1" x14ac:dyDescent="0.2">
      <c r="B48" s="173"/>
      <c r="C48" s="171">
        <f t="shared" si="1"/>
        <v>4</v>
      </c>
      <c r="D48" s="139">
        <f t="shared" si="2"/>
        <v>-143683.87986490177</v>
      </c>
      <c r="E48" s="139">
        <f t="shared" si="3"/>
        <v>660432.30927392677</v>
      </c>
      <c r="F48" s="242">
        <f t="shared" si="0"/>
        <v>118209.08355255415</v>
      </c>
      <c r="G48" s="263">
        <f>('Valutazione Potenziale'!$Q$16/((1+$F$37)^(C48)))*1000</f>
        <v>6037103.2808019677</v>
      </c>
      <c r="H48" s="2"/>
      <c r="I48" s="2"/>
      <c r="J48" s="2"/>
      <c r="K48" s="2"/>
      <c r="L48" s="163"/>
    </row>
    <row r="49" spans="2:12" hidden="1" x14ac:dyDescent="0.2">
      <c r="B49" s="173"/>
      <c r="C49" s="171">
        <f t="shared" si="1"/>
        <v>5</v>
      </c>
      <c r="D49" s="139">
        <f t="shared" si="2"/>
        <v>-143683.87986490177</v>
      </c>
      <c r="E49" s="139">
        <f t="shared" si="3"/>
        <v>660432.30927392677</v>
      </c>
      <c r="F49" s="242">
        <f t="shared" si="0"/>
        <v>112580.07957386108</v>
      </c>
      <c r="G49" s="263">
        <f>('Valutazione Potenziale'!$Q$16/((1+$F$37)^(C49)))*1000</f>
        <v>5749622.17219235</v>
      </c>
      <c r="H49" s="2"/>
      <c r="I49" s="2"/>
      <c r="J49" s="2"/>
      <c r="K49" s="2"/>
      <c r="L49" s="163"/>
    </row>
    <row r="50" spans="2:12" hidden="1" x14ac:dyDescent="0.2">
      <c r="B50" s="173"/>
      <c r="C50" s="171">
        <f t="shared" si="1"/>
        <v>6</v>
      </c>
      <c r="D50" s="139">
        <f t="shared" si="2"/>
        <v>-143683.87986490177</v>
      </c>
      <c r="E50" s="139">
        <f t="shared" si="3"/>
        <v>660432.30927392677</v>
      </c>
      <c r="F50" s="242">
        <f t="shared" si="0"/>
        <v>107219.12340367724</v>
      </c>
      <c r="G50" s="263">
        <f>('Valutazione Potenziale'!$Q$16/((1+$F$37)^(C50)))*1000</f>
        <v>5475830.6401831917</v>
      </c>
      <c r="H50" s="2"/>
      <c r="I50" s="2"/>
      <c r="J50" s="2"/>
      <c r="K50" s="2"/>
      <c r="L50" s="163"/>
    </row>
    <row r="51" spans="2:12" hidden="1" x14ac:dyDescent="0.2">
      <c r="B51" s="173"/>
      <c r="C51" s="171">
        <f t="shared" si="1"/>
        <v>7</v>
      </c>
      <c r="D51" s="139">
        <f t="shared" si="2"/>
        <v>-143683.87986490177</v>
      </c>
      <c r="E51" s="139">
        <f t="shared" si="3"/>
        <v>660432.30927392677</v>
      </c>
      <c r="F51" s="242">
        <f t="shared" si="0"/>
        <v>102113.45086064497</v>
      </c>
      <c r="G51" s="263">
        <f>('Valutazione Potenziale'!$Q$16/((1+$F$37)^(C51)))*1000</f>
        <v>5215076.8001744673</v>
      </c>
      <c r="H51" s="2"/>
      <c r="I51" s="2"/>
      <c r="J51" s="2"/>
      <c r="K51" s="2"/>
      <c r="L51" s="163"/>
    </row>
    <row r="52" spans="2:12" hidden="1" x14ac:dyDescent="0.2">
      <c r="B52" s="173"/>
      <c r="C52" s="171">
        <f t="shared" si="1"/>
        <v>8</v>
      </c>
      <c r="D52" s="139">
        <f t="shared" si="2"/>
        <v>-143683.87986490177</v>
      </c>
      <c r="E52" s="139">
        <f t="shared" si="3"/>
        <v>660432.30927392677</v>
      </c>
      <c r="F52" s="242">
        <f t="shared" si="0"/>
        <v>97250.905581566651</v>
      </c>
      <c r="G52" s="263">
        <f>('Valutazione Potenziale'!$Q$16/((1+$F$37)^(C52)))*1000</f>
        <v>4966739.8096899698</v>
      </c>
      <c r="H52" s="2"/>
      <c r="I52" s="2"/>
      <c r="J52" s="2"/>
      <c r="K52" s="2"/>
      <c r="L52" s="163"/>
    </row>
    <row r="53" spans="2:12" hidden="1" x14ac:dyDescent="0.2">
      <c r="B53" s="173"/>
      <c r="C53" s="171">
        <f t="shared" si="1"/>
        <v>9</v>
      </c>
      <c r="D53" s="139">
        <f t="shared" si="2"/>
        <v>-143683.87986490177</v>
      </c>
      <c r="E53" s="139">
        <f t="shared" si="3"/>
        <v>660432.30927392677</v>
      </c>
      <c r="F53" s="242">
        <f t="shared" si="0"/>
        <v>92619.910077682522</v>
      </c>
      <c r="G53" s="263">
        <f>('Valutazione Potenziale'!$Q$16/((1+$F$37)^(C53)))*1000</f>
        <v>4730228.390180923</v>
      </c>
      <c r="H53" s="2"/>
      <c r="I53" s="2"/>
      <c r="J53" s="2"/>
      <c r="K53" s="2"/>
      <c r="L53" s="163"/>
    </row>
    <row r="54" spans="2:12" hidden="1" x14ac:dyDescent="0.2">
      <c r="B54" s="173"/>
      <c r="C54" s="171">
        <f t="shared" si="1"/>
        <v>10</v>
      </c>
      <c r="D54" s="139">
        <f t="shared" si="2"/>
        <v>-143683.87986490177</v>
      </c>
      <c r="E54" s="139">
        <f t="shared" si="3"/>
        <v>660432.30927392677</v>
      </c>
      <c r="F54" s="242">
        <f t="shared" si="0"/>
        <v>88209.438169221437</v>
      </c>
      <c r="G54" s="263">
        <f>('Valutazione Potenziale'!$Q$16/((1+$F$37)^(C54)))*1000</f>
        <v>4504979.4192199269</v>
      </c>
      <c r="H54" s="2"/>
      <c r="I54" s="2"/>
      <c r="J54" s="2"/>
      <c r="K54" s="2"/>
      <c r="L54" s="163"/>
    </row>
    <row r="55" spans="2:12" hidden="1" x14ac:dyDescent="0.2">
      <c r="B55" s="173"/>
      <c r="C55" s="171">
        <f t="shared" si="1"/>
        <v>11</v>
      </c>
      <c r="D55" s="139">
        <f t="shared" si="2"/>
        <v>-143683.87986490177</v>
      </c>
      <c r="E55" s="139">
        <f t="shared" si="3"/>
        <v>660432.30927392677</v>
      </c>
      <c r="F55" s="242">
        <f t="shared" si="0"/>
        <v>84008.988732591839</v>
      </c>
      <c r="G55" s="263">
        <f>('Valutazione Potenziale'!$Q$16/((1+$F$37)^(C55)))*1000</f>
        <v>4290456.5897332635</v>
      </c>
      <c r="H55" s="2"/>
      <c r="I55" s="2"/>
      <c r="J55" s="2"/>
      <c r="K55" s="2"/>
      <c r="L55" s="163"/>
    </row>
    <row r="56" spans="2:12" hidden="1" x14ac:dyDescent="0.2">
      <c r="B56" s="173"/>
      <c r="C56" s="171">
        <f t="shared" si="1"/>
        <v>12</v>
      </c>
      <c r="D56" s="139">
        <f t="shared" si="2"/>
        <v>-143683.87986490177</v>
      </c>
      <c r="E56" s="139">
        <f t="shared" si="3"/>
        <v>660432.30927392677</v>
      </c>
      <c r="F56" s="242">
        <f t="shared" si="0"/>
        <v>80008.560697706533</v>
      </c>
      <c r="G56" s="263">
        <f>('Valutazione Potenziale'!$Q$16/((1+$F$37)^(C56)))*1000</f>
        <v>4086149.1330792988</v>
      </c>
      <c r="H56" s="2"/>
      <c r="I56" s="2"/>
      <c r="J56" s="2"/>
      <c r="K56" s="2"/>
      <c r="L56" s="163"/>
    </row>
    <row r="57" spans="2:12" hidden="1" x14ac:dyDescent="0.2">
      <c r="B57" s="173"/>
      <c r="C57" s="171">
        <f t="shared" si="1"/>
        <v>13</v>
      </c>
      <c r="D57" s="139">
        <f t="shared" si="2"/>
        <v>-143683.87986490177</v>
      </c>
      <c r="E57" s="139">
        <f t="shared" si="3"/>
        <v>660432.30927392677</v>
      </c>
      <c r="F57" s="242">
        <f t="shared" si="0"/>
        <v>76198.629235910965</v>
      </c>
      <c r="G57" s="263">
        <f>('Valutazione Potenziale'!$Q$16/((1+$F$37)^(C57)))*1000</f>
        <v>3891570.6029326646</v>
      </c>
      <c r="H57" s="2"/>
      <c r="I57" s="2"/>
      <c r="J57" s="2"/>
      <c r="K57" s="2"/>
      <c r="L57" s="163"/>
    </row>
    <row r="58" spans="2:12" hidden="1" x14ac:dyDescent="0.2">
      <c r="B58" s="173"/>
      <c r="C58" s="171">
        <f t="shared" si="1"/>
        <v>14</v>
      </c>
      <c r="D58" s="139">
        <f t="shared" si="2"/>
        <v>-143683.87986490177</v>
      </c>
      <c r="E58" s="139">
        <f t="shared" si="3"/>
        <v>660432.30927392677</v>
      </c>
      <c r="F58" s="242">
        <f t="shared" si="0"/>
        <v>72570.123081819984</v>
      </c>
      <c r="G58" s="263">
        <f>('Valutazione Potenziale'!$Q$16/((1+$F$37)^(C58)))*1000</f>
        <v>3706257.7170787295</v>
      </c>
      <c r="H58" s="2"/>
      <c r="I58" s="2"/>
      <c r="J58" s="2"/>
      <c r="K58" s="2"/>
      <c r="L58" s="163"/>
    </row>
    <row r="59" spans="2:12" hidden="1" x14ac:dyDescent="0.2">
      <c r="B59" s="173"/>
      <c r="C59" s="171">
        <f t="shared" si="1"/>
        <v>15</v>
      </c>
      <c r="D59" s="139">
        <f t="shared" si="2"/>
        <v>-143683.87986490177</v>
      </c>
      <c r="E59" s="139">
        <f t="shared" si="3"/>
        <v>660432.30927392677</v>
      </c>
      <c r="F59" s="242">
        <f t="shared" si="0"/>
        <v>69114.402935066624</v>
      </c>
      <c r="G59" s="263">
        <f>('Valutazione Potenziale'!$Q$16/((1+$F$37)^(C59)))*1000</f>
        <v>3529769.2543606935</v>
      </c>
      <c r="H59" s="2"/>
      <c r="I59" s="2"/>
      <c r="J59" s="2"/>
      <c r="K59" s="2"/>
      <c r="L59" s="163"/>
    </row>
    <row r="60" spans="2:12" hidden="1" x14ac:dyDescent="0.2">
      <c r="B60" s="173"/>
      <c r="C60" s="171">
        <f t="shared" si="1"/>
        <v>16</v>
      </c>
      <c r="D60" s="139">
        <f t="shared" si="2"/>
        <v>-143683.87986490177</v>
      </c>
      <c r="E60" s="139">
        <f t="shared" si="3"/>
        <v>660432.30927392677</v>
      </c>
      <c r="F60" s="242">
        <f t="shared" si="0"/>
        <v>65823.240890539659</v>
      </c>
      <c r="G60" s="263">
        <f>('Valutazione Potenziale'!$Q$16/((1+$F$37)^(C60)))*1000</f>
        <v>3361685.0041530416</v>
      </c>
      <c r="H60" s="2"/>
      <c r="I60" s="2"/>
      <c r="J60" s="2"/>
      <c r="K60" s="2"/>
      <c r="L60" s="163"/>
    </row>
    <row r="61" spans="2:12" hidden="1" x14ac:dyDescent="0.2">
      <c r="B61" s="173"/>
      <c r="C61" s="171">
        <f t="shared" si="1"/>
        <v>17</v>
      </c>
      <c r="D61" s="139">
        <f t="shared" si="2"/>
        <v>-143683.87986490177</v>
      </c>
      <c r="E61" s="139">
        <f t="shared" si="3"/>
        <v>660432.30927392677</v>
      </c>
      <c r="F61" s="242">
        <f t="shared" si="0"/>
        <v>62688.800848132996</v>
      </c>
      <c r="G61" s="263">
        <f>('Valutazione Potenziale'!$Q$16/((1+$F$37)^(C61)))*1000</f>
        <v>3201604.7658600393</v>
      </c>
      <c r="H61" s="2"/>
      <c r="I61" s="2"/>
      <c r="J61" s="2"/>
      <c r="K61" s="2"/>
      <c r="L61" s="163"/>
    </row>
    <row r="62" spans="2:12" hidden="1" x14ac:dyDescent="0.2">
      <c r="B62" s="173"/>
      <c r="C62" s="171">
        <f t="shared" si="1"/>
        <v>18</v>
      </c>
      <c r="D62" s="139">
        <f t="shared" si="2"/>
        <v>-143683.87986490177</v>
      </c>
      <c r="E62" s="139">
        <f t="shared" si="3"/>
        <v>660432.30927392677</v>
      </c>
      <c r="F62" s="242">
        <f t="shared" si="0"/>
        <v>59703.619855364755</v>
      </c>
      <c r="G62" s="263">
        <f>('Valutazione Potenziale'!$Q$16/((1+$F$37)^(C62)))*1000</f>
        <v>3049147.3960571801</v>
      </c>
      <c r="H62" s="2"/>
      <c r="I62" s="2"/>
      <c r="J62" s="2"/>
      <c r="K62" s="2"/>
      <c r="L62" s="163"/>
    </row>
    <row r="63" spans="2:12" hidden="1" x14ac:dyDescent="0.2">
      <c r="B63" s="173"/>
      <c r="C63" s="171">
        <f t="shared" si="1"/>
        <v>19</v>
      </c>
      <c r="D63" s="139">
        <f t="shared" si="2"/>
        <v>-143683.87986490177</v>
      </c>
      <c r="E63" s="139">
        <f t="shared" si="3"/>
        <v>660432.30927392677</v>
      </c>
      <c r="F63" s="242">
        <f t="shared" si="0"/>
        <v>56860.590338442627</v>
      </c>
      <c r="G63" s="263">
        <f>('Valutazione Potenziale'!$Q$16/((1+$F$37)^(C63)))*1000</f>
        <v>2903949.9010068383</v>
      </c>
      <c r="H63" s="2"/>
      <c r="I63" s="2"/>
      <c r="J63" s="2"/>
      <c r="K63" s="2"/>
      <c r="L63" s="163"/>
    </row>
    <row r="64" spans="2:12" hidden="1" x14ac:dyDescent="0.2">
      <c r="B64" s="173"/>
      <c r="C64" s="171">
        <f t="shared" si="1"/>
        <v>20</v>
      </c>
      <c r="D64" s="139">
        <f t="shared" si="2"/>
        <v>-143683.87986490177</v>
      </c>
      <c r="E64" s="139">
        <f t="shared" si="3"/>
        <v>660432.30927392677</v>
      </c>
      <c r="F64" s="242">
        <f t="shared" si="0"/>
        <v>54152.94317946917</v>
      </c>
      <c r="G64" s="263">
        <f>('Valutazione Potenziale'!$Q$16/((1+$F$37)^(C64)))*1000</f>
        <v>2765666.5723874653</v>
      </c>
      <c r="H64" s="2"/>
      <c r="I64" s="2"/>
      <c r="J64" s="2"/>
      <c r="K64" s="2"/>
      <c r="L64" s="163"/>
    </row>
    <row r="65" spans="2:12" hidden="1" x14ac:dyDescent="0.2">
      <c r="B65" s="173"/>
      <c r="C65" s="171">
        <f t="shared" si="1"/>
        <v>21</v>
      </c>
      <c r="D65" s="139">
        <f t="shared" si="2"/>
        <v>-143683.87986490177</v>
      </c>
      <c r="E65" s="139">
        <f t="shared" si="3"/>
        <v>660432.30927392677</v>
      </c>
      <c r="F65" s="242">
        <f t="shared" si="0"/>
        <v>51574.231599494451</v>
      </c>
      <c r="G65" s="263">
        <f>('Valutazione Potenziale'!$Q$16/((1+$F$37)^(C65)))*1000</f>
        <v>2633968.1641785381</v>
      </c>
      <c r="H65" s="2"/>
      <c r="I65" s="2"/>
      <c r="J65" s="2"/>
      <c r="K65" s="2"/>
      <c r="L65" s="163"/>
    </row>
    <row r="66" spans="2:12" hidden="1" x14ac:dyDescent="0.2">
      <c r="B66" s="173"/>
      <c r="C66" s="171">
        <f t="shared" si="1"/>
        <v>22</v>
      </c>
      <c r="D66" s="139">
        <f t="shared" si="2"/>
        <v>-143683.87986490177</v>
      </c>
      <c r="E66" s="139">
        <f t="shared" si="3"/>
        <v>660432.30927392677</v>
      </c>
      <c r="F66" s="242">
        <f t="shared" si="0"/>
        <v>49118.315809042339</v>
      </c>
      <c r="G66" s="263">
        <f>('Valutazione Potenziale'!$Q$16/((1+$F$37)^(C66)))*1000</f>
        <v>2508541.1087414655</v>
      </c>
      <c r="H66" s="2"/>
      <c r="I66" s="2"/>
      <c r="J66" s="2"/>
      <c r="K66" s="2"/>
      <c r="L66" s="163"/>
    </row>
    <row r="67" spans="2:12" hidden="1" x14ac:dyDescent="0.2">
      <c r="B67" s="173"/>
      <c r="C67" s="171">
        <f t="shared" si="1"/>
        <v>23</v>
      </c>
      <c r="D67" s="139">
        <f t="shared" si="2"/>
        <v>-143683.87986490177</v>
      </c>
      <c r="E67" s="139">
        <f t="shared" si="3"/>
        <v>660432.30927392677</v>
      </c>
      <c r="F67" s="242">
        <f t="shared" si="0"/>
        <v>46779.348389564118</v>
      </c>
      <c r="G67" s="263">
        <f>('Valutazione Potenziale'!$Q$16/((1+$F$37)^(C67)))*1000</f>
        <v>2389086.7702299664</v>
      </c>
      <c r="H67" s="2"/>
      <c r="I67" s="2"/>
      <c r="J67" s="2"/>
      <c r="K67" s="2"/>
      <c r="L67" s="163"/>
    </row>
    <row r="68" spans="2:12" hidden="1" x14ac:dyDescent="0.2">
      <c r="B68" s="173"/>
      <c r="C68" s="171">
        <f t="shared" si="1"/>
        <v>24</v>
      </c>
      <c r="D68" s="139">
        <f t="shared" si="2"/>
        <v>-143683.87986490177</v>
      </c>
      <c r="E68" s="139">
        <f t="shared" si="3"/>
        <v>660432.30927392677</v>
      </c>
      <c r="F68" s="242">
        <f t="shared" si="0"/>
        <v>44551.760371013457</v>
      </c>
      <c r="G68" s="263">
        <f>('Valutazione Potenziale'!$Q$16/((1+$F$37)^(C68)))*1000</f>
        <v>2275320.7335523493</v>
      </c>
      <c r="H68" s="2"/>
      <c r="I68" s="2"/>
      <c r="J68" s="2"/>
      <c r="K68" s="2"/>
      <c r="L68" s="163"/>
    </row>
    <row r="69" spans="2:12" hidden="1" x14ac:dyDescent="0.2">
      <c r="B69" s="173"/>
      <c r="C69" s="171">
        <f t="shared" si="1"/>
        <v>25</v>
      </c>
      <c r="D69" s="139">
        <f t="shared" si="2"/>
        <v>-143683.87986490177</v>
      </c>
      <c r="E69" s="139">
        <f t="shared" si="3"/>
        <v>660432.30927392677</v>
      </c>
      <c r="F69" s="242">
        <f t="shared" si="0"/>
        <v>42430.247972393765</v>
      </c>
      <c r="G69" s="263">
        <f>('Valutazione Potenziale'!$Q$16/((1+$F$37)^(C69)))*1000</f>
        <v>2166972.1271927138</v>
      </c>
      <c r="H69" s="2"/>
      <c r="I69" s="2"/>
      <c r="J69" s="2"/>
      <c r="K69" s="2"/>
      <c r="L69" s="163"/>
    </row>
    <row r="70" spans="2:12" hidden="1" x14ac:dyDescent="0.2">
      <c r="B70" s="173"/>
      <c r="C70" s="171">
        <f t="shared" si="1"/>
        <v>26</v>
      </c>
      <c r="D70" s="139">
        <f t="shared" si="2"/>
        <v>-143683.87986490177</v>
      </c>
      <c r="E70" s="139">
        <f t="shared" si="3"/>
        <v>660432.30927392677</v>
      </c>
      <c r="F70" s="242">
        <f t="shared" si="0"/>
        <v>40409.759973708344</v>
      </c>
      <c r="G70" s="263">
        <f>('Valutazione Potenziale'!$Q$16/((1+$F$37)^(C70)))*1000</f>
        <v>2063782.9782787748</v>
      </c>
      <c r="H70" s="2"/>
      <c r="I70" s="2"/>
      <c r="J70" s="2"/>
      <c r="K70" s="2"/>
      <c r="L70" s="163"/>
    </row>
    <row r="71" spans="2:12" hidden="1" x14ac:dyDescent="0.2">
      <c r="B71" s="173"/>
      <c r="C71" s="171">
        <f t="shared" si="1"/>
        <v>27</v>
      </c>
      <c r="D71" s="139">
        <f t="shared" si="2"/>
        <v>-143683.87986490177</v>
      </c>
      <c r="E71" s="139">
        <f t="shared" si="3"/>
        <v>660432.30927392677</v>
      </c>
      <c r="F71" s="242">
        <f t="shared" si="0"/>
        <v>38485.485689246038</v>
      </c>
      <c r="G71" s="263">
        <f>('Valutazione Potenziale'!$Q$16/((1+$F$37)^(C71)))*1000</f>
        <v>1965507.5983607376</v>
      </c>
      <c r="H71" s="2"/>
      <c r="I71" s="2"/>
      <c r="J71" s="2"/>
      <c r="K71" s="2"/>
      <c r="L71" s="163"/>
    </row>
    <row r="72" spans="2:12" hidden="1" x14ac:dyDescent="0.2">
      <c r="B72" s="173"/>
      <c r="C72" s="171">
        <f t="shared" si="1"/>
        <v>28</v>
      </c>
      <c r="D72" s="139">
        <f t="shared" si="2"/>
        <v>-143683.87986490177</v>
      </c>
      <c r="E72" s="139">
        <f t="shared" si="3"/>
        <v>660432.30927392677</v>
      </c>
      <c r="F72" s="242">
        <f t="shared" si="0"/>
        <v>36652.843513567663</v>
      </c>
      <c r="G72" s="263">
        <f>('Valutazione Potenziale'!$Q$16/((1+$F$37)^(C72)))*1000</f>
        <v>1871911.9984387981</v>
      </c>
      <c r="H72" s="2"/>
      <c r="I72" s="2"/>
      <c r="J72" s="2"/>
      <c r="K72" s="2"/>
      <c r="L72" s="163"/>
    </row>
    <row r="73" spans="2:12" hidden="1" x14ac:dyDescent="0.2">
      <c r="B73" s="173"/>
      <c r="C73" s="171">
        <f>1+C72</f>
        <v>29</v>
      </c>
      <c r="D73" s="139">
        <f t="shared" si="2"/>
        <v>-143683.87986490177</v>
      </c>
      <c r="E73" s="139">
        <f t="shared" si="3"/>
        <v>660432.30927392677</v>
      </c>
      <c r="F73" s="242">
        <f t="shared" si="0"/>
        <v>34907.470012921578</v>
      </c>
      <c r="G73" s="263">
        <f>('Valutazione Potenziale'!$Q$16/((1+$F$37)^(C73)))*1000</f>
        <v>1782773.331846474</v>
      </c>
      <c r="H73" s="2"/>
      <c r="I73" s="2"/>
      <c r="J73" s="2"/>
      <c r="K73" s="2"/>
      <c r="L73" s="163"/>
    </row>
    <row r="74" spans="2:12" hidden="1" x14ac:dyDescent="0.2">
      <c r="B74" s="173"/>
      <c r="C74" s="171">
        <f t="shared" si="1"/>
        <v>30</v>
      </c>
      <c r="D74" s="139">
        <f t="shared" si="2"/>
        <v>-143683.87986490177</v>
      </c>
      <c r="E74" s="139">
        <f t="shared" si="3"/>
        <v>660432.30927392677</v>
      </c>
      <c r="F74" s="242">
        <f t="shared" si="0"/>
        <v>33245.209536115799</v>
      </c>
      <c r="G74" s="263">
        <f>('Valutazione Potenziale'!$Q$16/((1+$F$37)^(C74)))*1000</f>
        <v>1697879.363663309</v>
      </c>
      <c r="H74" s="2"/>
      <c r="I74" s="2"/>
      <c r="J74" s="2"/>
      <c r="K74" s="2"/>
      <c r="L74" s="163"/>
    </row>
    <row r="75" spans="2:12" x14ac:dyDescent="0.2">
      <c r="B75" s="173"/>
      <c r="C75" s="2"/>
      <c r="D75" s="2"/>
      <c r="E75" s="2"/>
      <c r="F75" s="2"/>
      <c r="G75" s="2"/>
      <c r="H75" s="2"/>
      <c r="I75" s="2"/>
      <c r="J75" s="2"/>
      <c r="K75" s="2"/>
      <c r="L75" s="163"/>
    </row>
    <row r="76" spans="2:12" x14ac:dyDescent="0.2">
      <c r="B76" s="173"/>
      <c r="C76" s="2"/>
      <c r="D76" s="2"/>
      <c r="E76" s="2"/>
      <c r="F76" s="2"/>
      <c r="G76" s="2"/>
      <c r="H76" s="2"/>
      <c r="I76" s="2"/>
      <c r="J76" s="2"/>
      <c r="K76" s="2"/>
      <c r="L76" s="163"/>
    </row>
    <row r="77" spans="2:12" x14ac:dyDescent="0.2">
      <c r="B77" s="173"/>
      <c r="C77" s="2"/>
      <c r="D77" s="2"/>
      <c r="E77" s="2"/>
      <c r="F77" s="2"/>
      <c r="G77" s="2"/>
      <c r="H77" s="2"/>
      <c r="I77" s="2"/>
      <c r="J77" s="2"/>
      <c r="K77" s="2"/>
      <c r="L77" s="163"/>
    </row>
    <row r="78" spans="2:12" x14ac:dyDescent="0.2">
      <c r="B78" s="173"/>
      <c r="C78" s="2"/>
      <c r="D78" s="2"/>
      <c r="E78" s="2"/>
      <c r="F78" s="2"/>
      <c r="G78" s="2"/>
      <c r="H78" s="2"/>
      <c r="I78" s="2"/>
      <c r="J78" s="2"/>
      <c r="K78" s="2"/>
      <c r="L78" s="163"/>
    </row>
    <row r="79" spans="2:12" x14ac:dyDescent="0.2">
      <c r="B79" s="173"/>
      <c r="C79" s="2"/>
      <c r="D79" s="2"/>
      <c r="E79" s="2"/>
      <c r="F79" s="2"/>
      <c r="G79" s="2"/>
      <c r="H79" s="2"/>
      <c r="I79" s="2"/>
      <c r="J79" s="2"/>
      <c r="K79" s="2"/>
      <c r="L79" s="163"/>
    </row>
    <row r="80" spans="2:12" x14ac:dyDescent="0.2">
      <c r="B80" s="173"/>
      <c r="C80" s="2"/>
      <c r="D80" s="2"/>
      <c r="E80" s="2"/>
      <c r="F80" s="2"/>
      <c r="G80" s="2"/>
      <c r="H80" s="2"/>
      <c r="I80" s="2"/>
      <c r="J80" s="2"/>
      <c r="K80" s="2"/>
      <c r="L80" s="163"/>
    </row>
    <row r="81" spans="2:12" x14ac:dyDescent="0.2">
      <c r="B81" s="173"/>
      <c r="C81" s="2"/>
      <c r="D81" s="2"/>
      <c r="E81" s="2"/>
      <c r="F81" s="2"/>
      <c r="G81" s="2"/>
      <c r="H81" s="2"/>
      <c r="I81" s="2"/>
      <c r="J81" s="2"/>
      <c r="K81" s="2"/>
      <c r="L81" s="163"/>
    </row>
    <row r="82" spans="2:12" x14ac:dyDescent="0.2">
      <c r="B82" s="173"/>
      <c r="C82" s="2"/>
      <c r="D82" s="2"/>
      <c r="E82" s="2"/>
      <c r="F82" s="2"/>
      <c r="G82" s="2"/>
      <c r="H82" s="2"/>
      <c r="I82" s="2"/>
      <c r="J82" s="2"/>
      <c r="K82" s="2"/>
      <c r="L82" s="163"/>
    </row>
    <row r="83" spans="2:12" x14ac:dyDescent="0.2">
      <c r="B83" s="173"/>
      <c r="C83" s="2"/>
      <c r="D83" s="2"/>
      <c r="E83" s="2"/>
      <c r="F83" s="2"/>
      <c r="G83" s="2"/>
      <c r="H83" s="2"/>
      <c r="I83" s="2"/>
      <c r="J83" s="2"/>
      <c r="K83" s="2"/>
      <c r="L83" s="163"/>
    </row>
    <row r="84" spans="2:12" x14ac:dyDescent="0.2">
      <c r="B84" s="173"/>
      <c r="C84" s="2"/>
      <c r="D84" s="2"/>
      <c r="E84" s="2"/>
      <c r="F84" s="2"/>
      <c r="G84" s="2"/>
      <c r="H84" s="2"/>
      <c r="I84" s="2"/>
      <c r="J84" s="2"/>
      <c r="K84" s="2"/>
      <c r="L84" s="163"/>
    </row>
    <row r="85" spans="2:12" x14ac:dyDescent="0.2">
      <c r="B85" s="173"/>
      <c r="C85" s="2"/>
      <c r="D85" s="2"/>
      <c r="E85" s="2"/>
      <c r="F85" s="2"/>
      <c r="G85" s="2"/>
      <c r="H85" s="2"/>
      <c r="I85" s="2"/>
      <c r="J85" s="2"/>
      <c r="K85" s="2"/>
      <c r="L85" s="163"/>
    </row>
    <row r="86" spans="2:12" x14ac:dyDescent="0.2">
      <c r="B86" s="173"/>
      <c r="C86" s="2"/>
      <c r="D86" s="2"/>
      <c r="E86" s="2"/>
      <c r="F86" s="2"/>
      <c r="G86" s="2"/>
      <c r="H86" s="2"/>
      <c r="I86" s="2"/>
      <c r="J86" s="2"/>
      <c r="K86" s="2"/>
      <c r="L86" s="163"/>
    </row>
    <row r="87" spans="2:12" x14ac:dyDescent="0.2">
      <c r="B87" s="173"/>
      <c r="C87" s="2"/>
      <c r="D87" s="2"/>
      <c r="E87" s="2"/>
      <c r="F87" s="2"/>
      <c r="G87" s="2"/>
      <c r="H87" s="2"/>
      <c r="I87" s="2"/>
      <c r="J87" s="2"/>
      <c r="K87" s="2"/>
      <c r="L87" s="163"/>
    </row>
    <row r="88" spans="2:12" x14ac:dyDescent="0.2">
      <c r="B88" s="173"/>
      <c r="C88" s="2"/>
      <c r="D88" s="2"/>
      <c r="E88" s="2"/>
      <c r="F88" s="2"/>
      <c r="G88" s="2"/>
      <c r="H88" s="2"/>
      <c r="I88" s="2"/>
      <c r="J88" s="2"/>
      <c r="K88" s="2"/>
      <c r="L88" s="163"/>
    </row>
    <row r="89" spans="2:12" x14ac:dyDescent="0.2">
      <c r="B89" s="173"/>
      <c r="C89" s="2"/>
      <c r="D89" s="2"/>
      <c r="E89" s="2"/>
      <c r="F89" s="2"/>
      <c r="G89" s="2"/>
      <c r="H89" s="2"/>
      <c r="I89" s="2"/>
      <c r="J89" s="2"/>
      <c r="K89" s="2"/>
      <c r="L89" s="163"/>
    </row>
    <row r="90" spans="2:12" x14ac:dyDescent="0.2">
      <c r="B90" s="173"/>
      <c r="C90" s="2"/>
      <c r="D90" s="2"/>
      <c r="E90" s="2"/>
      <c r="F90" s="2"/>
      <c r="G90" s="2"/>
      <c r="H90" s="2"/>
      <c r="I90" s="2"/>
      <c r="J90" s="2"/>
      <c r="K90" s="2"/>
      <c r="L90" s="163"/>
    </row>
    <row r="91" spans="2:12" x14ac:dyDescent="0.2">
      <c r="B91" s="173"/>
      <c r="C91" s="2"/>
      <c r="D91" s="2"/>
      <c r="E91" s="2"/>
      <c r="F91" s="2"/>
      <c r="G91" s="2"/>
      <c r="H91" s="2"/>
      <c r="I91" s="2"/>
      <c r="J91" s="2"/>
      <c r="K91" s="2"/>
      <c r="L91" s="163"/>
    </row>
    <row r="92" spans="2:12" x14ac:dyDescent="0.2">
      <c r="B92" s="173"/>
      <c r="C92" s="2"/>
      <c r="D92" s="2"/>
      <c r="E92" s="2"/>
      <c r="F92" s="2"/>
      <c r="G92" s="2"/>
      <c r="H92" s="2"/>
      <c r="I92" s="2"/>
      <c r="J92" s="2"/>
      <c r="K92" s="2"/>
      <c r="L92" s="163"/>
    </row>
    <row r="93" spans="2:12" x14ac:dyDescent="0.2">
      <c r="B93" s="173"/>
      <c r="C93" s="2"/>
      <c r="D93" s="2"/>
      <c r="E93" s="2"/>
      <c r="F93" s="2"/>
      <c r="G93" s="2"/>
      <c r="H93" s="2"/>
      <c r="I93" s="2"/>
      <c r="J93" s="2"/>
      <c r="K93" s="2"/>
      <c r="L93" s="163"/>
    </row>
    <row r="94" spans="2:12" ht="17" thickBot="1" x14ac:dyDescent="0.25">
      <c r="B94" s="173"/>
      <c r="C94" s="2"/>
      <c r="D94" s="2"/>
      <c r="E94" s="2"/>
      <c r="F94" s="2"/>
      <c r="G94" s="2"/>
      <c r="H94" s="2"/>
      <c r="I94" s="2"/>
      <c r="J94" s="2"/>
      <c r="K94" s="2"/>
      <c r="L94" s="163"/>
    </row>
    <row r="95" spans="2:12" ht="17" hidden="1" thickBot="1" x14ac:dyDescent="0.25">
      <c r="B95" s="173"/>
      <c r="C95" s="2" t="s">
        <v>220</v>
      </c>
      <c r="D95" s="2" t="s">
        <v>221</v>
      </c>
      <c r="E95" s="2" t="s">
        <v>222</v>
      </c>
      <c r="F95" s="2" t="s">
        <v>225</v>
      </c>
      <c r="G95" s="2" t="s">
        <v>226</v>
      </c>
      <c r="H95" s="2"/>
      <c r="I95" s="2"/>
      <c r="J95" s="2"/>
      <c r="K95" s="2"/>
      <c r="L95" s="163"/>
    </row>
    <row r="96" spans="2:12" ht="17" hidden="1" thickBot="1" x14ac:dyDescent="0.25">
      <c r="B96" s="173"/>
      <c r="C96" s="2">
        <v>0</v>
      </c>
      <c r="D96" s="2">
        <f>(0-F7)/(1+F37)^(C96)</f>
        <v>-2738754.9529448459</v>
      </c>
      <c r="E96" s="2">
        <f>SUM(D96)</f>
        <v>-2738754.9529448459</v>
      </c>
      <c r="F96" s="2">
        <v>0</v>
      </c>
      <c r="G96" s="242">
        <f>F7</f>
        <v>2738754.9529448459</v>
      </c>
      <c r="H96" s="2"/>
      <c r="I96" s="2"/>
      <c r="J96" s="2"/>
      <c r="K96" s="2"/>
      <c r="L96" s="163"/>
    </row>
    <row r="97" spans="2:12" ht="17" hidden="1" thickBot="1" x14ac:dyDescent="0.25">
      <c r="B97" s="173"/>
      <c r="C97" s="2">
        <f>C96+1</f>
        <v>1</v>
      </c>
      <c r="D97" s="2">
        <f>($F$36-$F$35)/(1+$F$37)^(C97)</f>
        <v>492141.36134192854</v>
      </c>
      <c r="E97" s="2">
        <f>SUM($D$96:D97)</f>
        <v>-2246613.5916029173</v>
      </c>
      <c r="F97" s="2">
        <f>$F$36/(1+$F$37)^(C97)</f>
        <v>628983.1516894541</v>
      </c>
      <c r="G97" s="2">
        <f>$F$35/(1+$F$37)^(C97)</f>
        <v>136841.7903475255</v>
      </c>
      <c r="H97" s="2"/>
      <c r="I97" s="2"/>
      <c r="J97" s="2"/>
      <c r="K97" s="2"/>
      <c r="L97" s="163"/>
    </row>
    <row r="98" spans="2:12" ht="17" hidden="1" thickBot="1" x14ac:dyDescent="0.25">
      <c r="B98" s="173"/>
      <c r="C98" s="2">
        <f t="shared" ref="C98:C124" si="4">C97+1</f>
        <v>2</v>
      </c>
      <c r="D98" s="2">
        <f>($F$36-$F$35)/(1+$F$37)^(C98)</f>
        <v>468706.05842088436</v>
      </c>
      <c r="E98" s="2">
        <f>SUM($D$96:D98)</f>
        <v>-1777907.5331820329</v>
      </c>
      <c r="F98" s="2">
        <f t="shared" ref="F98:F126" si="5">$F$36/(1+$F$37)^(C98)</f>
        <v>599031.57303757523</v>
      </c>
      <c r="G98" s="2">
        <f t="shared" ref="G98:G126" si="6">$F$35/(1+$F$37)^(C98)</f>
        <v>130325.51461669094</v>
      </c>
      <c r="H98" s="2"/>
      <c r="I98" s="2"/>
      <c r="J98" s="2"/>
      <c r="K98" s="2"/>
      <c r="L98" s="163"/>
    </row>
    <row r="99" spans="2:12" ht="17" hidden="1" thickBot="1" x14ac:dyDescent="0.25">
      <c r="B99" s="173"/>
      <c r="C99" s="2">
        <f t="shared" si="4"/>
        <v>3</v>
      </c>
      <c r="D99" s="2">
        <f t="shared" ref="D99:D126" si="7">($F$36-$F$35)/(1+$F$37)^(C99)</f>
        <v>446386.72230560408</v>
      </c>
      <c r="E99" s="2">
        <f>SUM($D$96:D99)</f>
        <v>-1331520.8108764288</v>
      </c>
      <c r="F99" s="2">
        <f t="shared" si="5"/>
        <v>570506.26003578596</v>
      </c>
      <c r="G99" s="2">
        <f t="shared" si="6"/>
        <v>124119.53773018184</v>
      </c>
      <c r="H99" s="2"/>
      <c r="I99" s="2"/>
      <c r="J99" s="2"/>
      <c r="K99" s="2"/>
      <c r="L99" s="163"/>
    </row>
    <row r="100" spans="2:12" ht="17" hidden="1" thickBot="1" x14ac:dyDescent="0.25">
      <c r="B100" s="173"/>
      <c r="C100" s="2">
        <f t="shared" si="4"/>
        <v>4</v>
      </c>
      <c r="D100" s="2">
        <f t="shared" si="7"/>
        <v>425130.21171962301</v>
      </c>
      <c r="E100" s="2">
        <f>SUM($D$96:D100)</f>
        <v>-906390.59915680578</v>
      </c>
      <c r="F100" s="2">
        <f t="shared" si="5"/>
        <v>543339.29527217709</v>
      </c>
      <c r="G100" s="2">
        <f t="shared" si="6"/>
        <v>118209.08355255415</v>
      </c>
      <c r="H100" s="2"/>
      <c r="I100" s="2"/>
      <c r="J100" s="2"/>
      <c r="K100" s="2"/>
      <c r="L100" s="163"/>
    </row>
    <row r="101" spans="2:12" ht="17" hidden="1" thickBot="1" x14ac:dyDescent="0.25">
      <c r="B101" s="173"/>
      <c r="C101" s="2">
        <f t="shared" si="4"/>
        <v>5</v>
      </c>
      <c r="D101" s="2">
        <f t="shared" si="7"/>
        <v>404885.91592345043</v>
      </c>
      <c r="E101" s="2">
        <f>SUM($D$96:D101)</f>
        <v>-501504.68323335535</v>
      </c>
      <c r="F101" s="2">
        <f t="shared" si="5"/>
        <v>517465.99549731152</v>
      </c>
      <c r="G101" s="2">
        <f t="shared" si="6"/>
        <v>112580.07957386108</v>
      </c>
      <c r="H101" s="2"/>
      <c r="I101" s="2"/>
      <c r="J101" s="2"/>
      <c r="K101" s="2"/>
      <c r="L101" s="163"/>
    </row>
    <row r="102" spans="2:12" ht="17" hidden="1" thickBot="1" x14ac:dyDescent="0.25">
      <c r="B102" s="173"/>
      <c r="C102" s="2">
        <f t="shared" si="4"/>
        <v>6</v>
      </c>
      <c r="D102" s="2">
        <f t="shared" si="7"/>
        <v>385605.63421280996</v>
      </c>
      <c r="E102" s="2">
        <f>SUM($D$96:D102)</f>
        <v>-115899.04902054538</v>
      </c>
      <c r="F102" s="2">
        <f t="shared" si="5"/>
        <v>492824.75761648722</v>
      </c>
      <c r="G102" s="2">
        <f t="shared" si="6"/>
        <v>107219.12340367724</v>
      </c>
      <c r="H102" s="2"/>
      <c r="I102" s="2"/>
      <c r="J102" s="2"/>
      <c r="K102" s="2"/>
      <c r="L102" s="163"/>
    </row>
    <row r="103" spans="2:12" ht="17" hidden="1" thickBot="1" x14ac:dyDescent="0.25">
      <c r="B103" s="173"/>
      <c r="C103" s="2">
        <f t="shared" si="4"/>
        <v>7</v>
      </c>
      <c r="D103" s="2">
        <f t="shared" si="7"/>
        <v>367243.46115505707</v>
      </c>
      <c r="E103" s="2">
        <f>SUM($D$96:D103)</f>
        <v>251344.41213451169</v>
      </c>
      <c r="F103" s="2">
        <f t="shared" si="5"/>
        <v>469356.91201570205</v>
      </c>
      <c r="G103" s="2">
        <f t="shared" si="6"/>
        <v>102113.45086064497</v>
      </c>
      <c r="H103" s="2"/>
      <c r="I103" s="2"/>
      <c r="J103" s="2"/>
      <c r="K103" s="2"/>
      <c r="L103" s="163"/>
    </row>
    <row r="104" spans="2:12" ht="17" hidden="1" thickBot="1" x14ac:dyDescent="0.25">
      <c r="B104" s="173"/>
      <c r="C104" s="2">
        <f t="shared" si="4"/>
        <v>8</v>
      </c>
      <c r="D104" s="2">
        <f t="shared" si="7"/>
        <v>349755.67729053058</v>
      </c>
      <c r="E104" s="2">
        <f>SUM($D$96:D104)</f>
        <v>601100.08942504227</v>
      </c>
      <c r="F104" s="2">
        <f t="shared" si="5"/>
        <v>447006.58287209721</v>
      </c>
      <c r="G104" s="2">
        <f t="shared" si="6"/>
        <v>97250.905581566651</v>
      </c>
      <c r="H104" s="2"/>
      <c r="I104" s="2"/>
      <c r="J104" s="2"/>
      <c r="K104" s="2"/>
      <c r="L104" s="163"/>
    </row>
    <row r="105" spans="2:12" ht="17" hidden="1" thickBot="1" x14ac:dyDescent="0.25">
      <c r="B105" s="173"/>
      <c r="C105" s="2">
        <f t="shared" si="4"/>
        <v>9</v>
      </c>
      <c r="D105" s="2">
        <f t="shared" si="7"/>
        <v>333100.64503860055</v>
      </c>
      <c r="E105" s="2">
        <f>SUM($D$96:D105)</f>
        <v>934200.73446364282</v>
      </c>
      <c r="F105" s="2">
        <f t="shared" si="5"/>
        <v>425720.55511628307</v>
      </c>
      <c r="G105" s="2">
        <f t="shared" si="6"/>
        <v>92619.910077682522</v>
      </c>
      <c r="H105" s="2"/>
      <c r="I105" s="2"/>
      <c r="J105" s="2"/>
      <c r="K105" s="2"/>
      <c r="L105" s="163"/>
    </row>
    <row r="106" spans="2:12" ht="17" hidden="1" thickBot="1" x14ac:dyDescent="0.25">
      <c r="B106" s="173"/>
      <c r="C106" s="2">
        <f t="shared" si="4"/>
        <v>10</v>
      </c>
      <c r="D106" s="2">
        <f t="shared" si="7"/>
        <v>317238.70956057194</v>
      </c>
      <c r="E106" s="2">
        <f>SUM($D$96:D106)</f>
        <v>1251439.4440242148</v>
      </c>
      <c r="F106" s="2">
        <f t="shared" si="5"/>
        <v>405448.14772979339</v>
      </c>
      <c r="G106" s="2">
        <f t="shared" si="6"/>
        <v>88209.438169221437</v>
      </c>
      <c r="H106" s="2"/>
      <c r="I106" s="2"/>
      <c r="J106" s="2"/>
      <c r="K106" s="2"/>
      <c r="L106" s="163"/>
    </row>
    <row r="107" spans="2:12" ht="17" hidden="1" thickBot="1" x14ac:dyDescent="0.25">
      <c r="B107" s="173"/>
      <c r="C107" s="2">
        <f t="shared" si="4"/>
        <v>11</v>
      </c>
      <c r="D107" s="2">
        <f t="shared" si="7"/>
        <v>302132.10434340179</v>
      </c>
      <c r="E107" s="2">
        <f>SUM($D$96:D107)</f>
        <v>1553571.5483676165</v>
      </c>
      <c r="F107" s="2">
        <f t="shared" si="5"/>
        <v>386141.09307599365</v>
      </c>
      <c r="G107" s="2">
        <f t="shared" si="6"/>
        <v>84008.988732591839</v>
      </c>
      <c r="H107" s="2"/>
      <c r="I107" s="2"/>
      <c r="J107" s="2"/>
      <c r="K107" s="2"/>
      <c r="L107" s="163"/>
    </row>
    <row r="108" spans="2:12" ht="17" hidden="1" thickBot="1" x14ac:dyDescent="0.25">
      <c r="B108" s="173"/>
      <c r="C108" s="2">
        <f t="shared" si="4"/>
        <v>12</v>
      </c>
      <c r="D108" s="2">
        <f t="shared" si="7"/>
        <v>287744.86127943033</v>
      </c>
      <c r="E108" s="2">
        <f>SUM($D$96:D108)</f>
        <v>1841316.4096470468</v>
      </c>
      <c r="F108" s="2">
        <f t="shared" si="5"/>
        <v>367753.42197713687</v>
      </c>
      <c r="G108" s="2">
        <f t="shared" si="6"/>
        <v>80008.560697706533</v>
      </c>
      <c r="H108" s="2"/>
      <c r="I108" s="2"/>
      <c r="J108" s="2"/>
      <c r="K108" s="2"/>
      <c r="L108" s="163"/>
    </row>
    <row r="109" spans="2:12" ht="17" hidden="1" thickBot="1" x14ac:dyDescent="0.25">
      <c r="B109" s="173"/>
      <c r="C109" s="2">
        <f t="shared" si="4"/>
        <v>13</v>
      </c>
      <c r="D109" s="2">
        <f t="shared" si="7"/>
        <v>274042.72502802883</v>
      </c>
      <c r="E109" s="2">
        <f>SUM($D$96:D109)</f>
        <v>2115359.1346750758</v>
      </c>
      <c r="F109" s="2">
        <f t="shared" si="5"/>
        <v>350241.35426393984</v>
      </c>
      <c r="G109" s="2">
        <f t="shared" si="6"/>
        <v>76198.629235910965</v>
      </c>
      <c r="H109" s="2"/>
      <c r="I109" s="2"/>
      <c r="J109" s="2"/>
      <c r="K109" s="2"/>
      <c r="L109" s="163"/>
    </row>
    <row r="110" spans="2:12" ht="17" hidden="1" thickBot="1" x14ac:dyDescent="0.25">
      <c r="B110" s="173"/>
      <c r="C110" s="2">
        <f t="shared" si="4"/>
        <v>14</v>
      </c>
      <c r="D110" s="2">
        <f t="shared" si="7"/>
        <v>260993.07145526563</v>
      </c>
      <c r="E110" s="2">
        <f>SUM($D$96:D110)</f>
        <v>2376352.2061303416</v>
      </c>
      <c r="F110" s="2">
        <f t="shared" si="5"/>
        <v>333563.1945370856</v>
      </c>
      <c r="G110" s="2">
        <f t="shared" si="6"/>
        <v>72570.123081819984</v>
      </c>
      <c r="H110" s="2"/>
      <c r="I110" s="2"/>
      <c r="J110" s="2"/>
      <c r="K110" s="2"/>
      <c r="L110" s="163"/>
    </row>
    <row r="111" spans="2:12" ht="17" hidden="1" thickBot="1" x14ac:dyDescent="0.25">
      <c r="B111" s="173"/>
      <c r="C111" s="2">
        <f t="shared" si="4"/>
        <v>15</v>
      </c>
      <c r="D111" s="2">
        <f t="shared" si="7"/>
        <v>248564.82995739576</v>
      </c>
      <c r="E111" s="2">
        <f>SUM($D$96:D111)</f>
        <v>2624917.0360877374</v>
      </c>
      <c r="F111" s="2">
        <f t="shared" si="5"/>
        <v>317679.2328924624</v>
      </c>
      <c r="G111" s="2">
        <f t="shared" si="6"/>
        <v>69114.402935066624</v>
      </c>
      <c r="H111" s="2"/>
      <c r="I111" s="2"/>
      <c r="J111" s="2"/>
      <c r="K111" s="2"/>
      <c r="L111" s="163"/>
    </row>
    <row r="112" spans="2:12" ht="17" hidden="1" thickBot="1" x14ac:dyDescent="0.25">
      <c r="B112" s="173"/>
      <c r="C112" s="2">
        <f t="shared" si="4"/>
        <v>16</v>
      </c>
      <c r="D112" s="2">
        <f t="shared" si="7"/>
        <v>236728.40948323408</v>
      </c>
      <c r="E112" s="2">
        <f>SUM($D$96:D112)</f>
        <v>2861645.4455709714</v>
      </c>
      <c r="F112" s="2">
        <f t="shared" si="5"/>
        <v>302551.65037377377</v>
      </c>
      <c r="G112" s="2">
        <f t="shared" si="6"/>
        <v>65823.240890539659</v>
      </c>
      <c r="H112" s="2"/>
      <c r="I112" s="2"/>
      <c r="J112" s="2"/>
      <c r="K112" s="2"/>
      <c r="L112" s="163"/>
    </row>
    <row r="113" spans="2:12" ht="17" hidden="1" thickBot="1" x14ac:dyDescent="0.25">
      <c r="B113" s="173"/>
      <c r="C113" s="2">
        <f t="shared" si="4"/>
        <v>17</v>
      </c>
      <c r="D113" s="2">
        <f t="shared" si="7"/>
        <v>225455.62807927054</v>
      </c>
      <c r="E113" s="2">
        <f>SUM($D$96:D113)</f>
        <v>3087101.0736502418</v>
      </c>
      <c r="F113" s="2">
        <f t="shared" si="5"/>
        <v>288144.42892740353</v>
      </c>
      <c r="G113" s="2">
        <f t="shared" si="6"/>
        <v>62688.800848132996</v>
      </c>
      <c r="H113" s="2"/>
      <c r="I113" s="2"/>
      <c r="J113" s="2"/>
      <c r="K113" s="2"/>
      <c r="L113" s="163"/>
    </row>
    <row r="114" spans="2:12" ht="17" hidden="1" thickBot="1" x14ac:dyDescent="0.25">
      <c r="B114" s="173"/>
      <c r="C114" s="2">
        <f t="shared" si="4"/>
        <v>18</v>
      </c>
      <c r="D114" s="2">
        <f t="shared" si="7"/>
        <v>214719.64578978147</v>
      </c>
      <c r="E114" s="2">
        <f>SUM($D$96:D114)</f>
        <v>3301820.7194400234</v>
      </c>
      <c r="F114" s="2">
        <f t="shared" si="5"/>
        <v>274423.2656451462</v>
      </c>
      <c r="G114" s="2">
        <f t="shared" si="6"/>
        <v>59703.619855364755</v>
      </c>
      <c r="H114" s="2"/>
      <c r="I114" s="2"/>
      <c r="J114" s="2"/>
      <c r="K114" s="2"/>
      <c r="L114" s="163"/>
    </row>
    <row r="115" spans="2:12" ht="17" hidden="1" thickBot="1" x14ac:dyDescent="0.25">
      <c r="B115" s="173"/>
      <c r="C115" s="2">
        <f t="shared" si="4"/>
        <v>19</v>
      </c>
      <c r="D115" s="2">
        <f t="shared" si="7"/>
        <v>204494.90075217281</v>
      </c>
      <c r="E115" s="2">
        <f>SUM($D$96:D115)</f>
        <v>3506315.6201921962</v>
      </c>
      <c r="F115" s="2">
        <f t="shared" si="5"/>
        <v>261355.49109061545</v>
      </c>
      <c r="G115" s="2">
        <f t="shared" si="6"/>
        <v>56860.590338442627</v>
      </c>
      <c r="H115" s="2"/>
      <c r="I115" s="2"/>
      <c r="J115" s="2"/>
      <c r="K115" s="2"/>
      <c r="L115" s="163"/>
    </row>
    <row r="116" spans="2:12" ht="17" hidden="1" thickBot="1" x14ac:dyDescent="0.25">
      <c r="B116" s="173"/>
      <c r="C116" s="2">
        <f t="shared" si="4"/>
        <v>20</v>
      </c>
      <c r="D116" s="2">
        <f t="shared" si="7"/>
        <v>194757.04833540268</v>
      </c>
      <c r="E116" s="2">
        <f>SUM($D$96:D116)</f>
        <v>3701072.668527599</v>
      </c>
      <c r="F116" s="2">
        <f t="shared" si="5"/>
        <v>248909.99151487186</v>
      </c>
      <c r="G116" s="2">
        <f t="shared" si="6"/>
        <v>54152.94317946917</v>
      </c>
      <c r="H116" s="2"/>
      <c r="I116" s="2"/>
      <c r="J116" s="2"/>
      <c r="K116" s="2"/>
      <c r="L116" s="163"/>
    </row>
    <row r="117" spans="2:12" ht="17" hidden="1" thickBot="1" x14ac:dyDescent="0.25">
      <c r="B117" s="173"/>
      <c r="C117" s="2">
        <f t="shared" si="4"/>
        <v>21</v>
      </c>
      <c r="D117" s="2">
        <f t="shared" si="7"/>
        <v>185482.90317657398</v>
      </c>
      <c r="E117" s="2">
        <f>SUM($D$96:D117)</f>
        <v>3886555.571704173</v>
      </c>
      <c r="F117" s="2">
        <f t="shared" si="5"/>
        <v>237057.13477606844</v>
      </c>
      <c r="G117" s="2">
        <f t="shared" si="6"/>
        <v>51574.231599494451</v>
      </c>
      <c r="H117" s="2"/>
      <c r="I117" s="2"/>
      <c r="J117" s="2"/>
      <c r="K117" s="2"/>
      <c r="L117" s="163"/>
    </row>
    <row r="118" spans="2:12" ht="17" hidden="1" thickBot="1" x14ac:dyDescent="0.25">
      <c r="B118" s="173"/>
      <c r="C118" s="2">
        <f t="shared" si="4"/>
        <v>22</v>
      </c>
      <c r="D118" s="2">
        <f t="shared" si="7"/>
        <v>176650.38397768952</v>
      </c>
      <c r="E118" s="2">
        <f>SUM($D$96:D118)</f>
        <v>4063205.9556818623</v>
      </c>
      <c r="F118" s="2">
        <f t="shared" si="5"/>
        <v>225768.69978673186</v>
      </c>
      <c r="G118" s="2">
        <f t="shared" si="6"/>
        <v>49118.315809042339</v>
      </c>
      <c r="H118" s="2"/>
      <c r="I118" s="2"/>
      <c r="J118" s="2"/>
      <c r="K118" s="2"/>
      <c r="L118" s="163"/>
    </row>
    <row r="119" spans="2:12" ht="17" hidden="1" thickBot="1" x14ac:dyDescent="0.25">
      <c r="B119" s="173"/>
      <c r="C119" s="2">
        <f>C118+1</f>
        <v>23</v>
      </c>
      <c r="D119" s="2">
        <f t="shared" si="7"/>
        <v>168238.46093113284</v>
      </c>
      <c r="E119" s="2">
        <f>SUM($D$96:D119)</f>
        <v>4231444.4166129949</v>
      </c>
      <c r="F119" s="2">
        <f t="shared" si="5"/>
        <v>215017.80932069698</v>
      </c>
      <c r="G119" s="2">
        <f t="shared" si="6"/>
        <v>46779.348389564118</v>
      </c>
      <c r="H119" s="2"/>
      <c r="I119" s="2"/>
      <c r="J119" s="2"/>
      <c r="K119" s="2"/>
      <c r="L119" s="163"/>
    </row>
    <row r="120" spans="2:12" ht="17" hidden="1" thickBot="1" x14ac:dyDescent="0.25">
      <c r="B120" s="173"/>
      <c r="C120" s="2">
        <f t="shared" si="4"/>
        <v>24</v>
      </c>
      <c r="D120" s="2">
        <f t="shared" si="7"/>
        <v>160227.10564869797</v>
      </c>
      <c r="E120" s="2">
        <f>SUM($D$96:D120)</f>
        <v>4391671.5222616931</v>
      </c>
      <c r="F120" s="2">
        <f t="shared" si="5"/>
        <v>204778.86601971142</v>
      </c>
      <c r="G120" s="2">
        <f t="shared" si="6"/>
        <v>44551.760371013457</v>
      </c>
      <c r="H120" s="2"/>
      <c r="I120" s="2"/>
      <c r="J120" s="2"/>
      <c r="K120" s="2"/>
      <c r="L120" s="163"/>
    </row>
    <row r="121" spans="2:12" ht="17" hidden="1" thickBot="1" x14ac:dyDescent="0.25">
      <c r="B121" s="173"/>
      <c r="C121" s="2">
        <f t="shared" si="4"/>
        <v>25</v>
      </c>
      <c r="D121" s="2">
        <f t="shared" si="7"/>
        <v>152597.24347495043</v>
      </c>
      <c r="E121" s="2">
        <f>SUM($D$96:D121)</f>
        <v>4544268.7657366432</v>
      </c>
      <c r="F121" s="2">
        <f t="shared" si="5"/>
        <v>195027.49144734422</v>
      </c>
      <c r="G121" s="2">
        <f t="shared" si="6"/>
        <v>42430.247972393765</v>
      </c>
      <c r="H121" s="2"/>
      <c r="I121" s="2"/>
      <c r="J121" s="2"/>
      <c r="K121" s="2"/>
      <c r="L121" s="163"/>
    </row>
    <row r="122" spans="2:12" ht="17" hidden="1" thickBot="1" x14ac:dyDescent="0.25">
      <c r="B122" s="173"/>
      <c r="C122" s="2">
        <f t="shared" si="4"/>
        <v>26</v>
      </c>
      <c r="D122" s="2">
        <f t="shared" si="7"/>
        <v>145330.70807138138</v>
      </c>
      <c r="E122" s="2">
        <f>SUM($D$96:D122)</f>
        <v>4689599.473808025</v>
      </c>
      <c r="F122" s="2">
        <f t="shared" si="5"/>
        <v>185740.46804508971</v>
      </c>
      <c r="G122" s="2">
        <f t="shared" si="6"/>
        <v>40409.759973708344</v>
      </c>
      <c r="H122" s="2"/>
      <c r="I122" s="2"/>
      <c r="J122" s="2"/>
      <c r="K122" s="2"/>
      <c r="L122" s="163"/>
    </row>
    <row r="123" spans="2:12" ht="17" hidden="1" thickBot="1" x14ac:dyDescent="0.25">
      <c r="B123" s="173"/>
      <c r="C123" s="2">
        <f t="shared" si="4"/>
        <v>27</v>
      </c>
      <c r="D123" s="2">
        <f t="shared" si="7"/>
        <v>138410.19816322034</v>
      </c>
      <c r="E123" s="2">
        <f>SUM($D$96:D123)</f>
        <v>4828009.6719712457</v>
      </c>
      <c r="F123" s="2">
        <f t="shared" si="5"/>
        <v>176895.68385246638</v>
      </c>
      <c r="G123" s="2">
        <f t="shared" si="6"/>
        <v>38485.485689246038</v>
      </c>
      <c r="H123" s="2"/>
      <c r="I123" s="2"/>
      <c r="J123" s="2"/>
      <c r="K123" s="2"/>
      <c r="L123" s="163"/>
    </row>
    <row r="124" spans="2:12" ht="17" hidden="1" thickBot="1" x14ac:dyDescent="0.25">
      <c r="B124" s="173"/>
      <c r="C124" s="2">
        <f t="shared" si="4"/>
        <v>28</v>
      </c>
      <c r="D124" s="2">
        <f t="shared" si="7"/>
        <v>131819.23634592415</v>
      </c>
      <c r="E124" s="2">
        <f>SUM($D$96:D124)</f>
        <v>4959828.9083171701</v>
      </c>
      <c r="F124" s="2">
        <f t="shared" si="5"/>
        <v>168472.07985949182</v>
      </c>
      <c r="G124" s="2">
        <f t="shared" si="6"/>
        <v>36652.843513567663</v>
      </c>
      <c r="H124" s="2"/>
      <c r="I124" s="2"/>
      <c r="J124" s="2"/>
      <c r="K124" s="2"/>
      <c r="L124" s="163"/>
    </row>
    <row r="125" spans="2:12" ht="17" hidden="1" thickBot="1" x14ac:dyDescent="0.25">
      <c r="B125" s="173"/>
      <c r="C125" s="2">
        <f>C124+1</f>
        <v>29</v>
      </c>
      <c r="D125" s="2">
        <f t="shared" si="7"/>
        <v>125542.12985326108</v>
      </c>
      <c r="E125" s="2">
        <f>SUM($D$96:D125)</f>
        <v>5085371.0381704308</v>
      </c>
      <c r="F125" s="2">
        <f t="shared" si="5"/>
        <v>160449.59986618266</v>
      </c>
      <c r="G125" s="2">
        <f t="shared" si="6"/>
        <v>34907.470012921578</v>
      </c>
      <c r="H125" s="2"/>
      <c r="I125" s="2"/>
      <c r="J125" s="2"/>
      <c r="K125" s="2"/>
      <c r="L125" s="163"/>
    </row>
    <row r="126" spans="2:12" ht="17" hidden="1" thickBot="1" x14ac:dyDescent="0.25">
      <c r="B126" s="173"/>
      <c r="C126" s="2">
        <f>C125+1</f>
        <v>30</v>
      </c>
      <c r="D126" s="2">
        <f t="shared" si="7"/>
        <v>119563.93319358202</v>
      </c>
      <c r="E126" s="2">
        <f>SUM($D$96:D126)</f>
        <v>5204934.9713640129</v>
      </c>
      <c r="F126" s="2">
        <f t="shared" si="5"/>
        <v>152809.14272969781</v>
      </c>
      <c r="G126" s="2">
        <f t="shared" si="6"/>
        <v>33245.209536115799</v>
      </c>
      <c r="H126" s="2"/>
      <c r="I126" s="2"/>
      <c r="J126" s="2"/>
      <c r="K126" s="2"/>
      <c r="L126" s="163"/>
    </row>
    <row r="127" spans="2:12" ht="22" thickBot="1" x14ac:dyDescent="0.3">
      <c r="B127" s="173"/>
      <c r="C127" s="311" t="s">
        <v>219</v>
      </c>
      <c r="D127" s="312"/>
      <c r="E127" s="312"/>
      <c r="F127" s="313"/>
      <c r="G127" s="309">
        <f>SUM(D96:D126)</f>
        <v>5204934.9713640129</v>
      </c>
      <c r="H127" s="310"/>
      <c r="I127" s="199" t="s">
        <v>229</v>
      </c>
      <c r="J127" s="199">
        <v>0</v>
      </c>
      <c r="K127" s="199"/>
      <c r="L127" s="163"/>
    </row>
    <row r="128" spans="2:12" ht="17" thickBot="1" x14ac:dyDescent="0.25">
      <c r="B128" s="173"/>
      <c r="C128" s="2"/>
      <c r="D128" s="2"/>
      <c r="E128" s="2"/>
      <c r="F128" s="2"/>
      <c r="G128" s="2"/>
      <c r="H128" s="2"/>
      <c r="I128" s="199" t="s">
        <v>75</v>
      </c>
      <c r="J128" s="199">
        <f>INDEX(C96:G126,MATCH(J127,E96:E126,3),3)</f>
        <v>-115899.04902054538</v>
      </c>
      <c r="K128" s="199">
        <f>INDEX(C96:G126,MATCH(J127,E96:E126,3),1)</f>
        <v>6</v>
      </c>
      <c r="L128" s="163"/>
    </row>
    <row r="129" spans="2:12" ht="22" thickBot="1" x14ac:dyDescent="0.3">
      <c r="B129" s="173"/>
      <c r="C129" s="268" t="s">
        <v>223</v>
      </c>
      <c r="D129" s="269"/>
      <c r="E129" s="269"/>
      <c r="F129" s="270"/>
      <c r="G129" s="305">
        <f>G127/F7</f>
        <v>1.9004748729956316</v>
      </c>
      <c r="H129" s="306"/>
      <c r="I129" s="199" t="s">
        <v>76</v>
      </c>
      <c r="J129" s="199">
        <f>INDEX(C96:G126,MATCH(J127,E96:E126,3)+1,3)</f>
        <v>251344.41213451169</v>
      </c>
      <c r="K129" s="199">
        <f>INDEX(C96:G126,MATCH(J127,E96:E126,3)+1,1)</f>
        <v>7</v>
      </c>
      <c r="L129" s="163"/>
    </row>
    <row r="130" spans="2:12" ht="17" thickBot="1" x14ac:dyDescent="0.25">
      <c r="B130" s="173"/>
      <c r="C130" s="2"/>
      <c r="D130" s="2"/>
      <c r="E130" s="2"/>
      <c r="F130" s="2"/>
      <c r="G130" s="2"/>
      <c r="H130" s="2"/>
      <c r="I130" s="199"/>
      <c r="J130" s="199">
        <f>TREND(K128:K129,J128:J129,J127)</f>
        <v>6.315591865559754</v>
      </c>
      <c r="K130" s="199"/>
      <c r="L130" s="163"/>
    </row>
    <row r="131" spans="2:12" ht="22" thickBot="1" x14ac:dyDescent="0.3">
      <c r="B131" s="173"/>
      <c r="C131" s="268" t="s">
        <v>224</v>
      </c>
      <c r="D131" s="269"/>
      <c r="E131" s="269"/>
      <c r="F131" s="270"/>
      <c r="G131" s="307">
        <f>J130</f>
        <v>6.315591865559754</v>
      </c>
      <c r="H131" s="308"/>
      <c r="I131" s="2" t="s">
        <v>211</v>
      </c>
      <c r="J131" s="2"/>
      <c r="K131" s="2"/>
      <c r="L131" s="163"/>
    </row>
    <row r="132" spans="2:12" ht="17" thickBot="1" x14ac:dyDescent="0.25">
      <c r="B132" s="173"/>
      <c r="C132" s="2"/>
      <c r="D132" s="2"/>
      <c r="E132" s="2"/>
      <c r="F132" s="2"/>
      <c r="G132" s="2"/>
      <c r="H132" s="2"/>
      <c r="I132" s="2"/>
      <c r="J132" s="2"/>
      <c r="K132" s="2"/>
      <c r="L132" s="163"/>
    </row>
    <row r="133" spans="2:12" ht="26" thickBot="1" x14ac:dyDescent="0.4">
      <c r="B133" s="173"/>
      <c r="C133" s="268" t="s">
        <v>227</v>
      </c>
      <c r="D133" s="269"/>
      <c r="E133" s="269"/>
      <c r="F133" s="270"/>
      <c r="G133" s="307">
        <f>F7/E41</f>
        <v>5.2999773140616995</v>
      </c>
      <c r="H133" s="308"/>
      <c r="I133" s="2" t="s">
        <v>211</v>
      </c>
      <c r="J133" s="203"/>
      <c r="K133" s="2"/>
      <c r="L133" s="163"/>
    </row>
    <row r="134" spans="2:12" ht="17" thickBot="1" x14ac:dyDescent="0.25">
      <c r="B134" s="173"/>
      <c r="C134" s="2"/>
      <c r="D134" s="2"/>
      <c r="E134" s="2"/>
      <c r="F134" s="2"/>
      <c r="G134" s="2"/>
      <c r="H134" s="2"/>
      <c r="I134" s="2"/>
      <c r="J134" s="203"/>
      <c r="K134" s="2"/>
      <c r="L134" s="163"/>
    </row>
    <row r="135" spans="2:12" ht="22" thickBot="1" x14ac:dyDescent="0.3">
      <c r="B135" s="173"/>
      <c r="C135" s="268" t="s">
        <v>228</v>
      </c>
      <c r="D135" s="269"/>
      <c r="E135" s="269"/>
      <c r="F135" s="270"/>
      <c r="G135" s="305">
        <f>SUM(F96:F126)/(SUM(G96:G126))</f>
        <v>2.052027314072514</v>
      </c>
      <c r="H135" s="306"/>
      <c r="I135" s="2"/>
      <c r="J135" s="203"/>
      <c r="K135" s="2"/>
      <c r="L135" s="163"/>
    </row>
    <row r="136" spans="2:12" s="174" customFormat="1" ht="17" thickBot="1" x14ac:dyDescent="0.25">
      <c r="B136" s="258"/>
      <c r="C136" s="259"/>
      <c r="D136" s="259"/>
      <c r="E136" s="259"/>
      <c r="F136" s="259"/>
      <c r="G136" s="259"/>
      <c r="H136" s="259"/>
      <c r="I136" s="259"/>
      <c r="J136" s="203"/>
      <c r="K136" s="259"/>
      <c r="L136" s="163"/>
    </row>
    <row r="137" spans="2:12" s="174" customFormat="1" ht="22" thickBot="1" x14ac:dyDescent="0.3">
      <c r="B137" s="258"/>
      <c r="C137" s="268" t="s">
        <v>274</v>
      </c>
      <c r="D137" s="269"/>
      <c r="E137" s="269"/>
      <c r="F137" s="270"/>
      <c r="G137" s="305">
        <f>SUM(F44:F74)/SUM(G44:G74)</f>
        <v>4.3859065316914983E-2</v>
      </c>
      <c r="H137" s="306"/>
      <c r="I137" s="259" t="s">
        <v>204</v>
      </c>
      <c r="J137" s="203"/>
      <c r="K137" s="259"/>
      <c r="L137" s="163"/>
    </row>
    <row r="138" spans="2:12" x14ac:dyDescent="0.2">
      <c r="B138" s="173"/>
      <c r="C138" s="2"/>
      <c r="D138" s="2"/>
      <c r="E138" s="2"/>
      <c r="F138" s="2"/>
      <c r="G138" s="2"/>
      <c r="H138" s="2"/>
      <c r="I138" s="2"/>
      <c r="J138" s="2"/>
      <c r="K138" s="2"/>
      <c r="L138" s="163"/>
    </row>
    <row r="139" spans="2:12" x14ac:dyDescent="0.2">
      <c r="B139" s="173"/>
      <c r="C139" s="2"/>
      <c r="D139" s="2"/>
      <c r="E139" s="2"/>
      <c r="F139" s="2"/>
      <c r="G139" s="2"/>
      <c r="H139" s="2"/>
      <c r="I139" s="2"/>
      <c r="J139" s="2"/>
      <c r="K139" s="2"/>
      <c r="L139" s="163"/>
    </row>
    <row r="140" spans="2:12" x14ac:dyDescent="0.2">
      <c r="B140" s="173"/>
      <c r="C140" s="2"/>
      <c r="D140" s="2"/>
      <c r="E140" s="2"/>
      <c r="F140" s="2"/>
      <c r="G140" s="2"/>
      <c r="H140" s="2"/>
      <c r="I140" s="2"/>
      <c r="J140" s="2"/>
      <c r="K140" s="2"/>
      <c r="L140" s="163"/>
    </row>
    <row r="141" spans="2:12" x14ac:dyDescent="0.2">
      <c r="B141" s="173"/>
      <c r="C141" s="2"/>
      <c r="D141" s="2"/>
      <c r="E141" s="2"/>
      <c r="F141" s="2"/>
      <c r="G141" s="2"/>
      <c r="H141" s="2"/>
      <c r="I141" s="2"/>
      <c r="J141" s="2"/>
      <c r="K141" s="2"/>
      <c r="L141" s="163"/>
    </row>
    <row r="142" spans="2:12" x14ac:dyDescent="0.2">
      <c r="B142" s="173"/>
      <c r="C142" s="2"/>
      <c r="D142" s="2"/>
      <c r="E142" s="2"/>
      <c r="F142" s="2"/>
      <c r="G142" s="2"/>
      <c r="H142" s="2"/>
      <c r="I142" s="2"/>
      <c r="J142" s="2"/>
      <c r="K142" s="2"/>
      <c r="L142" s="163"/>
    </row>
    <row r="143" spans="2:12" x14ac:dyDescent="0.2">
      <c r="B143" s="173"/>
      <c r="C143" s="2"/>
      <c r="D143" s="2"/>
      <c r="E143" s="2"/>
      <c r="F143" s="2"/>
      <c r="G143" s="2"/>
      <c r="H143" s="2"/>
      <c r="I143" s="2"/>
      <c r="J143" s="2"/>
      <c r="K143" s="2"/>
      <c r="L143" s="163"/>
    </row>
    <row r="144" spans="2:12" x14ac:dyDescent="0.2">
      <c r="B144" s="173"/>
      <c r="C144" s="2"/>
      <c r="D144" s="2"/>
      <c r="E144" s="2"/>
      <c r="F144" s="2"/>
      <c r="G144" s="2"/>
      <c r="H144" s="2"/>
      <c r="I144" s="2"/>
      <c r="J144" s="2"/>
      <c r="K144" s="2"/>
      <c r="L144" s="163"/>
    </row>
    <row r="145" spans="2:14" x14ac:dyDescent="0.2">
      <c r="B145" s="173"/>
      <c r="C145" s="2"/>
      <c r="D145" s="2"/>
      <c r="E145" s="2"/>
      <c r="F145" s="2"/>
      <c r="G145" s="2"/>
      <c r="H145" s="2"/>
      <c r="I145" s="2"/>
      <c r="J145" s="2"/>
      <c r="K145" s="2"/>
      <c r="L145" s="163"/>
    </row>
    <row r="146" spans="2:14" x14ac:dyDescent="0.2">
      <c r="B146" s="173"/>
      <c r="C146" s="2"/>
      <c r="D146" s="2"/>
      <c r="E146" s="2"/>
      <c r="F146" s="2"/>
      <c r="G146" s="2"/>
      <c r="H146" s="2"/>
      <c r="I146" s="2"/>
      <c r="J146" s="2"/>
      <c r="K146" s="2"/>
      <c r="L146" s="163"/>
    </row>
    <row r="147" spans="2:14" x14ac:dyDescent="0.2">
      <c r="B147" s="173"/>
      <c r="C147" s="2"/>
      <c r="D147" s="2"/>
      <c r="E147" s="2"/>
      <c r="F147" s="2"/>
      <c r="G147" s="2"/>
      <c r="H147" s="2"/>
      <c r="I147" s="2"/>
      <c r="J147" s="2"/>
      <c r="K147" s="2"/>
      <c r="L147" s="163"/>
    </row>
    <row r="148" spans="2:14" x14ac:dyDescent="0.2">
      <c r="B148" s="173"/>
      <c r="C148" s="2"/>
      <c r="D148" s="2"/>
      <c r="E148" s="2"/>
      <c r="F148" s="2"/>
      <c r="G148" s="2"/>
      <c r="H148" s="2"/>
      <c r="I148" s="2"/>
      <c r="J148" s="2"/>
      <c r="K148" s="2"/>
      <c r="L148" s="163"/>
    </row>
    <row r="149" spans="2:14" x14ac:dyDescent="0.2">
      <c r="B149" s="173"/>
      <c r="C149" s="2"/>
      <c r="D149" s="2"/>
      <c r="E149" s="2"/>
      <c r="F149" s="2"/>
      <c r="G149" s="2"/>
      <c r="H149" s="2"/>
      <c r="I149" s="2"/>
      <c r="J149" s="2"/>
      <c r="K149" s="2"/>
      <c r="L149" s="163"/>
    </row>
    <row r="150" spans="2:14" x14ac:dyDescent="0.2">
      <c r="B150" s="173"/>
      <c r="C150" s="2"/>
      <c r="D150" s="2"/>
      <c r="E150" s="2"/>
      <c r="F150" s="2"/>
      <c r="G150" s="2"/>
      <c r="H150" s="2"/>
      <c r="I150" s="2"/>
      <c r="J150" s="2"/>
      <c r="K150" s="2"/>
      <c r="L150" s="163"/>
    </row>
    <row r="151" spans="2:14" x14ac:dyDescent="0.2">
      <c r="B151" s="173"/>
      <c r="C151" s="2"/>
      <c r="D151" s="2"/>
      <c r="E151" s="2"/>
      <c r="F151" s="2"/>
      <c r="G151" s="2"/>
      <c r="H151" s="2"/>
      <c r="I151" s="2"/>
      <c r="J151" s="2"/>
      <c r="K151" s="2"/>
      <c r="L151" s="163"/>
    </row>
    <row r="152" spans="2:14" x14ac:dyDescent="0.2">
      <c r="B152" s="173"/>
      <c r="C152" s="2"/>
      <c r="D152" s="2"/>
      <c r="E152" s="2"/>
      <c r="F152" s="2"/>
      <c r="G152" s="2"/>
      <c r="H152" s="2"/>
      <c r="I152" s="2"/>
      <c r="J152" s="2"/>
      <c r="K152" s="2"/>
      <c r="L152" s="163"/>
    </row>
    <row r="153" spans="2:14" x14ac:dyDescent="0.2">
      <c r="B153" s="173"/>
      <c r="C153" s="2"/>
      <c r="D153" s="2"/>
      <c r="E153" s="2"/>
      <c r="F153" s="2"/>
      <c r="G153" s="2"/>
      <c r="H153" s="2"/>
      <c r="I153" s="2"/>
      <c r="J153" s="2"/>
      <c r="K153" s="2"/>
      <c r="L153" s="163"/>
      <c r="N153" s="32"/>
    </row>
    <row r="154" spans="2:14" x14ac:dyDescent="0.2">
      <c r="B154" s="173"/>
      <c r="C154" s="2"/>
      <c r="D154" s="2"/>
      <c r="E154" s="2"/>
      <c r="F154" s="2"/>
      <c r="G154" s="2"/>
      <c r="H154" s="2"/>
      <c r="I154" s="2"/>
      <c r="J154" s="2"/>
      <c r="K154" s="2"/>
      <c r="L154" s="163"/>
    </row>
    <row r="155" spans="2:14" x14ac:dyDescent="0.2">
      <c r="B155" s="173"/>
      <c r="C155" s="2"/>
      <c r="D155" s="2"/>
      <c r="E155" s="2"/>
      <c r="F155" s="2"/>
      <c r="G155" s="2"/>
      <c r="H155" s="2"/>
      <c r="I155" s="2"/>
      <c r="J155" s="2"/>
      <c r="K155" s="2"/>
      <c r="L155" s="163"/>
    </row>
    <row r="156" spans="2:14" x14ac:dyDescent="0.2">
      <c r="B156" s="173"/>
      <c r="C156" s="2"/>
      <c r="D156" s="2"/>
      <c r="E156" s="2"/>
      <c r="F156" s="2"/>
      <c r="G156" s="2"/>
      <c r="H156" s="2"/>
      <c r="I156" s="2"/>
      <c r="J156" s="2"/>
      <c r="K156" s="2"/>
      <c r="L156" s="163"/>
    </row>
    <row r="157" spans="2:14" x14ac:dyDescent="0.2">
      <c r="B157" s="173"/>
      <c r="C157" s="2"/>
      <c r="D157" s="2"/>
      <c r="E157" s="2"/>
      <c r="F157" s="2"/>
      <c r="G157" s="2"/>
      <c r="H157" s="2"/>
      <c r="I157" s="2"/>
      <c r="J157" s="203"/>
      <c r="K157" s="2"/>
      <c r="L157" s="163"/>
    </row>
    <row r="158" spans="2:14" x14ac:dyDescent="0.2">
      <c r="B158" s="168"/>
      <c r="C158" s="169"/>
      <c r="D158" s="169"/>
      <c r="E158" s="169"/>
      <c r="F158" s="169"/>
      <c r="G158" s="169"/>
      <c r="H158" s="169"/>
      <c r="I158" s="169"/>
      <c r="J158" s="204"/>
      <c r="K158" s="204"/>
      <c r="L158" s="45"/>
      <c r="N158" s="32"/>
    </row>
    <row r="159" spans="2:14" x14ac:dyDescent="0.2"/>
  </sheetData>
  <sheetProtection password="CA6D" sheet="1" objects="1" scenarios="1" selectLockedCells="1"/>
  <mergeCells count="26">
    <mergeCell ref="F3:I3"/>
    <mergeCell ref="C35:E35"/>
    <mergeCell ref="C36:E36"/>
    <mergeCell ref="C37:E37"/>
    <mergeCell ref="C38:E38"/>
    <mergeCell ref="G11:H11"/>
    <mergeCell ref="D26:E26"/>
    <mergeCell ref="H26:I26"/>
    <mergeCell ref="C33:E33"/>
    <mergeCell ref="C15:E15"/>
    <mergeCell ref="C13:E13"/>
    <mergeCell ref="C17:E17"/>
    <mergeCell ref="C5:D5"/>
    <mergeCell ref="C19:E19"/>
    <mergeCell ref="G127:H127"/>
    <mergeCell ref="G129:H129"/>
    <mergeCell ref="C129:F129"/>
    <mergeCell ref="C127:F127"/>
    <mergeCell ref="C131:F131"/>
    <mergeCell ref="G131:H131"/>
    <mergeCell ref="C137:F137"/>
    <mergeCell ref="G137:H137"/>
    <mergeCell ref="C133:F133"/>
    <mergeCell ref="G133:H133"/>
    <mergeCell ref="C135:F135"/>
    <mergeCell ref="G135:H135"/>
  </mergeCells>
  <pageMargins left="0.7" right="0.7" top="0.75" bottom="0.75" header="0.3" footer="0.3"/>
  <pageSetup paperSize="9" orientation="portrait" horizontalDpi="0" verticalDpi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52" r:id="rId3" name="Group Box 8">
              <controlPr defaultSize="0" autoFill="0" autoPict="0">
                <anchor moveWithCells="1">
                  <from>
                    <xdr:col>1</xdr:col>
                    <xdr:colOff>101600</xdr:colOff>
                    <xdr:row>24</xdr:row>
                    <xdr:rowOff>63500</xdr:rowOff>
                  </from>
                  <to>
                    <xdr:col>9</xdr:col>
                    <xdr:colOff>0</xdr:colOff>
                    <xdr:row>27</xdr:row>
                    <xdr:rowOff>50800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6153" r:id="rId4" name="Option Button 9">
              <controlPr locked="0" defaultSize="0" autoFill="0" autoLine="0" autoPict="0">
                <anchor moveWithCells="1">
                  <from>
                    <xdr:col>2</xdr:col>
                    <xdr:colOff>241300</xdr:colOff>
                    <xdr:row>24</xdr:row>
                    <xdr:rowOff>177800</xdr:rowOff>
                  </from>
                  <to>
                    <xdr:col>3</xdr:col>
                    <xdr:colOff>0</xdr:colOff>
                    <xdr:row>26</xdr:row>
                    <xdr:rowOff>38100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6155" r:id="rId5" name="Option Button 11">
              <controlPr locked="0" defaultSize="0" autoFill="0" autoLine="0" autoPict="0">
                <anchor moveWithCells="1">
                  <from>
                    <xdr:col>6</xdr:col>
                    <xdr:colOff>254000</xdr:colOff>
                    <xdr:row>24</xdr:row>
                    <xdr:rowOff>177800</xdr:rowOff>
                  </from>
                  <to>
                    <xdr:col>6</xdr:col>
                    <xdr:colOff>812800</xdr:colOff>
                    <xdr:row>26</xdr:row>
                    <xdr:rowOff>25400</xdr:rowOff>
                  </to>
                </anchor>
              </controlPr>
            </control>
          </mc:Choice>
          <mc:Fallback/>
        </mc:AlternateContent>
      </controls>
    </mc:Choice>
    <mc:Fallback/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Copertina</vt:lpstr>
      <vt:lpstr>Valutazione risorsa idrica</vt:lpstr>
      <vt:lpstr>Valutazione del salto</vt:lpstr>
      <vt:lpstr>Scelta della turbina</vt:lpstr>
      <vt:lpstr>Valutazione Potenziale</vt:lpstr>
      <vt:lpstr>Stima dell'investimento</vt:lpstr>
      <vt:lpstr>Analisi Finanziaria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di Microsoft Office</dc:creator>
  <cp:lastModifiedBy>Utente di Microsoft Office</cp:lastModifiedBy>
  <dcterms:created xsi:type="dcterms:W3CDTF">2018-06-11T09:20:25Z</dcterms:created>
  <dcterms:modified xsi:type="dcterms:W3CDTF">2018-07-16T15:40:25Z</dcterms:modified>
</cp:coreProperties>
</file>